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C:\Users\ISHIKAWA Hikari\Downloads\"/>
    </mc:Choice>
  </mc:AlternateContent>
  <xr:revisionPtr revIDLastSave="0" documentId="13_ncr:1_{FBC7D6B1-9AA9-4945-96A3-B951B11A2B9C}" xr6:coauthVersionLast="47" xr6:coauthVersionMax="47" xr10:uidLastSave="{00000000-0000-0000-0000-000000000000}"/>
  <bookViews>
    <workbookView xWindow="28695" yWindow="-120" windowWidth="29040" windowHeight="15720" tabRatio="947" firstSheet="16" activeTab="16" xr2:uid="{00000000-000D-0000-FFFF-FFFF00000000}"/>
  </bookViews>
  <sheets>
    <sheet name="dSHEET" sheetId="1" state="veryHidden" r:id="rId1"/>
    <sheet name="dSTART" sheetId="2" state="veryHidden" r:id="rId2"/>
    <sheet name="DATA" sheetId="3" state="veryHidden" r:id="rId3"/>
    <sheet name="dAName" sheetId="90" state="veryHidden" r:id="rId4"/>
    <sheet name="cst_DATA" sheetId="4" state="veryHidden" r:id="rId5"/>
    <sheet name="項目リスト" sheetId="5" state="veryHidden" r:id="rId6"/>
    <sheet name="用途の区分" sheetId="6" state="veryHidden" r:id="rId7"/>
    <sheet name="リスト" sheetId="7" state="veryHidden" r:id="rId8"/>
    <sheet name="建築概要一面" sheetId="66" state="veryHidden" r:id="rId9"/>
    <sheet name="概要二面" sheetId="112" state="veryHidden" r:id="rId10"/>
    <sheet name="概要二面_旧" sheetId="68" state="hidden" r:id="rId11"/>
    <sheet name="建築工事届" sheetId="105" state="veryHidden" r:id="rId12"/>
    <sheet name="建築工事届_2410" sheetId="113" state="veryHidden" r:id="rId13"/>
    <sheet name="中間四面" sheetId="70" state="veryHidden" r:id="rId14"/>
    <sheet name="海部建設地調書" sheetId="73" state="veryHidden" r:id="rId15"/>
    <sheet name="浄化槽調書" sheetId="74" state="veryHidden" r:id="rId16"/>
    <sheet name="浄化槽工事完了報告書" sheetId="75" r:id="rId17"/>
    <sheet name="軽微変更報告書" sheetId="96" state="veryHidden" r:id="rId18"/>
    <sheet name="申請書等記載事項変更届" sheetId="97" state="veryHidden" r:id="rId19"/>
    <sheet name="敷地調査票" sheetId="98" state="veryHidden" r:id="rId20"/>
    <sheet name="AKC敷調別紙1" sheetId="99" state="veryHidden" r:id="rId21"/>
    <sheet name="チェックシート" sheetId="106" state="veryHidden" r:id="rId22"/>
    <sheet name="消防工事計画届" sheetId="79" state="veryHidden" r:id="rId23"/>
    <sheet name="換気計算等" sheetId="114" state="veryHidden" r:id="rId24"/>
    <sheet name="安全証明書" sheetId="115" state="veryHidden" r:id="rId25"/>
    <sheet name="確認必要図書" sheetId="116" state="veryHidden" r:id="rId26"/>
    <sheet name="チェックシート_検査" sheetId="107" state="veryHidden" r:id="rId27"/>
    <sheet name="建築計画概要書第三面" sheetId="81" state="veryHidden" r:id="rId28"/>
    <sheet name="別紙_建築主_概要書用" sheetId="83" state="veryHidden" r:id="rId29"/>
    <sheet name="確認審査取り下げ_済証交付前" sheetId="108" state="veryHidden" r:id="rId30"/>
    <sheet name="工事取りやめ_済証交付後" sheetId="109" state="veryHidden" r:id="rId31"/>
    <sheet name="中間_完了取り下げ" sheetId="110" state="veryHidden" r:id="rId32"/>
    <sheet name="証明願" sheetId="111" state="veryHidden" r:id="rId33"/>
  </sheets>
  <definedNames>
    <definedName name="__IntlFixup">TRUE</definedName>
    <definedName name="__IntlFixupTable" localSheetId="10">#REF!</definedName>
    <definedName name="__IntlFixupTable" hidden="1">#REF!</definedName>
    <definedName name="_１級">リスト!$A$3</definedName>
    <definedName name="_xlnm._FilterDatabase" localSheetId="12" hidden="1">建築工事届_2410!$A$59:$N$60</definedName>
    <definedName name="_IntlFixup2Table" hidden="1">#REF!</definedName>
    <definedName name="_Order1" hidden="1">255</definedName>
    <definedName name="_output_sheetname">DATA!$D$9</definedName>
    <definedName name="_output_title">DATA!$D$7</definedName>
    <definedName name="AAA_01" hidden="1">#REF!</definedName>
    <definedName name="aaaaa" hidden="1">#REF!</definedName>
    <definedName name="AAAAA2" hidden="1">#REF!</definedName>
    <definedName name="AAAAA3" hidden="1">#REF!</definedName>
    <definedName name="AAAAA4" hidden="1">#REF!</definedName>
    <definedName name="AAAAA5" hidden="1">#REF!</definedName>
    <definedName name="AAAAA6" hidden="1">#REF!</definedName>
    <definedName name="AAAAA7" hidden="1">#REF!</definedName>
    <definedName name="AAAAA8" hidden="1">#REF!</definedName>
    <definedName name="AAAAA9" hidden="1">#REF!</definedName>
    <definedName name="AAAAB" hidden="1">#REF!</definedName>
    <definedName name="BBBBB1" hidden="1">#REF!</definedName>
    <definedName name="BBBBB2" hidden="1">#REF!</definedName>
    <definedName name="chk_INTER_state_in_final">DATA!$F$28</definedName>
    <definedName name="chk_INTER1_state_in_conf">DATA!$F$25</definedName>
    <definedName name="chk_INTER2_state_in_conf">DATA!$F$26</definedName>
    <definedName name="chk_INTER3_state_in_conf">DATA!$F$27</definedName>
    <definedName name="chk_JOB_KIND_kakunin">DATA!$F$24</definedName>
    <definedName name="cls_JOB_KIND_base_point">cst_DATA!$I$23</definedName>
    <definedName name="cls_JOB_KIND_erea">cst_DATA!$H$24:$H$29</definedName>
    <definedName name="cls_JOB_SET_KIND_base_point">cst_DATA!$I$4</definedName>
    <definedName name="cls_JOB_SET_KIND_erea">cst_DATA!$H$5:$H$9</definedName>
    <definedName name="cls_TARGET_KIND_base_point">cst_DATA!$I$13</definedName>
    <definedName name="cls_TARGET_KIND_erea">cst_DATA!$H$14:$H$19</definedName>
    <definedName name="cst__output_sheetname">DATA!$F$9</definedName>
    <definedName name="cst__output_title">DATA!$F$7</definedName>
    <definedName name="cst_ISSUE_DATE_select">DATA!$F$30</definedName>
    <definedName name="cst_ISSUE_KOUFU_NAME_select">DATA!$F$62</definedName>
    <definedName name="cst_ISSUE_NO_select">DATA!$F$29</definedName>
    <definedName name="cst_koujikikan_month">DATA!$F$1146</definedName>
    <definedName name="cst_koujikikan_year">DATA!$F$1145</definedName>
    <definedName name="cst_Pre_Corp__SHINSEI">dAName!$F$18</definedName>
    <definedName name="cst_Pre_Corp2__SHINSEI">dAName!$H$18</definedName>
    <definedName name="cst_Pre_Corptype__SHINSEI">dAName!$E$18</definedName>
    <definedName name="cst_Pre_Daihyou__SHINSEI">dAName!$G$18</definedName>
    <definedName name="cst_shinsei_build_p6_01_PAGE6_KOUZOU_KEISAN_KIND__002">DATA!$F$50</definedName>
    <definedName name="cst_shinsei_build_p6_01_PAGE6_KOUZOU_KEISAN_KIND__004">DATA!$F$49</definedName>
    <definedName name="cst_shinsei_build_p6_01_PAGE6_KOUZOU_KEISAN_KIND__005">DATA!$F$48</definedName>
    <definedName name="cst_shinsei_build_YOUTO">DATA!$F$1331</definedName>
    <definedName name="cst_shinsei_HIKIUKE_DATE">DATA!$F$38</definedName>
    <definedName name="cst_shinsei_ISSUE_DATE">DATA!$F$43</definedName>
    <definedName name="cst_shinsei_ISSUE_KOUFU_NAME">DATA!$F$45</definedName>
    <definedName name="cst_shinsei_ISSUE_NO">DATA!$F$40</definedName>
    <definedName name="cst_shinsei_KAKU_SUMI_NO">DATA!$F$41</definedName>
    <definedName name="cst_shinsei_KAKUNIN_ISSUE_NO">DATA!$F$60</definedName>
    <definedName name="cst_shinsei_KAKUNIN_KOUFU_DATE">DATA!$F$63</definedName>
    <definedName name="cst_shinsei_PROVO_DATE">DATA!$F$32</definedName>
    <definedName name="cst_shinsei_PROVO_NO">DATA!$F$33</definedName>
    <definedName name="cst_shinsei_UKETUKE_NO">DATA!$F$36</definedName>
    <definedName name="cst_shinsei_UNIT_COUNT">DATA!$F$957</definedName>
    <definedName name="cst_wsjob_JOB_KIND">DATA!$F$17</definedName>
    <definedName name="cst_wsjob_JOB_KIND_final_box">DATA!$F$20</definedName>
    <definedName name="cst_wsjob_JOB_KIND_inter_box">DATA!$F$19</definedName>
    <definedName name="cst_wsjob_JOB_KIND_kakunin_box">DATA!$F$18</definedName>
    <definedName name="cst_wsjob_JOB_SET_KIND">DATA!$F$12</definedName>
    <definedName name="cst_wsjob_KENTIKUBUTU_box">DATA!$F$14</definedName>
    <definedName name="cst_wsjob_KOUSAKUBUTU_box">DATA!$F$16</definedName>
    <definedName name="cst_wsjob_SYOUKOUKI_box">DATA!$F$15</definedName>
    <definedName name="cst_wsjob_TARGET_KIND">DATA!$F$13</definedName>
    <definedName name="cst_wsjob_TARGET_KIND__label">DATA!$F$11</definedName>
    <definedName name="cst_wskakunin__bouka">DATA!$F$911</definedName>
    <definedName name="cst_wskakunin__kouji">DATA!$F$959</definedName>
    <definedName name="cst_wskakunin__kuiki">DATA!$F$902</definedName>
    <definedName name="cst_wskakunin__kuiki_box">DATA!$F$903</definedName>
    <definedName name="cst_wskakunin__tosi_kuiki">DATA!$F$905</definedName>
    <definedName name="cst_wskakunin_20kouzou101_KOUZOUSEKKEI_KOUFU_NO">DATA!$F$480</definedName>
    <definedName name="cst_wskakunin_20kouzou101_NAME">DATA!$F$479</definedName>
    <definedName name="cst_wskakunin_20kouzou102_KOUZOUSEKKEI_KOUFU_NO">DATA!$F$482</definedName>
    <definedName name="cst_wskakunin_20kouzou102_NAME">DATA!$F$481</definedName>
    <definedName name="cst_wskakunin_20kouzou103_KOUZOUSEKKEI_KOUFU_NO">DATA!$F$484</definedName>
    <definedName name="cst_wskakunin_20kouzou103_NAME">DATA!$F$483</definedName>
    <definedName name="cst_wskakunin_20kouzou104_KOUZOUSEKKEI_KOUFU_NO">DATA!$F$486</definedName>
    <definedName name="cst_wskakunin_20kouzou104_NAME">DATA!$F$485</definedName>
    <definedName name="cst_wskakunin_20kouzou105_KOUZOUSEKKEI_KOUFU_NO">DATA!$F$488</definedName>
    <definedName name="cst_wskakunin_20kouzou105_NAME">DATA!$F$487</definedName>
    <definedName name="cst_wskakunin_20kouzou301_KOUZOUSEKKEI_KOUFU_NO">DATA!$F$492</definedName>
    <definedName name="cst_wskakunin_20kouzou301_NAME">DATA!$F$491</definedName>
    <definedName name="cst_wskakunin_20kouzou302_KOUZOUSEKKEI_KOUFU_NO">DATA!$F$494</definedName>
    <definedName name="cst_wskakunin_20kouzou302_NAME">DATA!$F$493</definedName>
    <definedName name="cst_wskakunin_20kouzou303_KOUZOUSEKKEI_KOUFU_NO">DATA!$F$496</definedName>
    <definedName name="cst_wskakunin_20kouzou303_NAME">DATA!$F$495</definedName>
    <definedName name="cst_wskakunin_20kouzou304_KOUZOUSEKKEI_KOUFU_NO">DATA!$F$498</definedName>
    <definedName name="cst_wskakunin_20kouzou304_NAME">DATA!$F$497</definedName>
    <definedName name="cst_wskakunin_20kouzou305_KOUZOUSEKKEI_KOUFU_NO">DATA!$F$500</definedName>
    <definedName name="cst_wskakunin_20kouzou305_NAME">DATA!$F$499</definedName>
    <definedName name="cst_wskakunin_20setubi101_NAME">DATA!$F$503</definedName>
    <definedName name="cst_wskakunin_20setubi101_SETUBISEKKEI_KOUFU_NO">DATA!$F$504</definedName>
    <definedName name="cst_wskakunin_20setubi102_NAME">DATA!$F$505</definedName>
    <definedName name="cst_wskakunin_20setubi102_SETUBISEKKEI_KOUFU_NO">DATA!$F$506</definedName>
    <definedName name="cst_wskakunin_20setubi103_NAME">DATA!$F$507</definedName>
    <definedName name="cst_wskakunin_20setubi103_SETUBISEKKEI_KOUFU_NO">DATA!$F$508</definedName>
    <definedName name="cst_wskakunin_20setubi104_NAME">DATA!$F$509</definedName>
    <definedName name="cst_wskakunin_20setubi104_SETUBISEKKEI_KOUFU_NO">DATA!$F$510</definedName>
    <definedName name="cst_wskakunin_20setubi105_NAME">DATA!$F$511</definedName>
    <definedName name="cst_wskakunin_20setubi105_SETUBISEKKEI_KOUFU_NO">DATA!$F$512</definedName>
    <definedName name="cst_wskakunin_20setubi301_NAME">DATA!$F$515</definedName>
    <definedName name="cst_wskakunin_20setubi301_SETUBISEKKEI_KOUFU_NO">DATA!$F$516</definedName>
    <definedName name="cst_wskakunin_20setubi302_NAME">DATA!$F$517</definedName>
    <definedName name="cst_wskakunin_20setubi302_SETUBISEKKEI_KOUFU_NO">DATA!$F$518</definedName>
    <definedName name="cst_wskakunin_20setubi303_NAME">DATA!$F$519</definedName>
    <definedName name="cst_wskakunin_20setubi303_SETUBISEKKEI_KOUFU_NO">DATA!$F$520</definedName>
    <definedName name="cst_wskakunin_20setubi304_NAME">DATA!$F$521</definedName>
    <definedName name="cst_wskakunin_20setubi304_SETUBISEKKEI_KOUFU_NO">DATA!$F$522</definedName>
    <definedName name="cst_wskakunin_20setubi305_NAME">DATA!$F$523</definedName>
    <definedName name="cst_wskakunin_20setubi305_SETUBISEKKEI_KOUFU_NO">DATA!$F$524</definedName>
    <definedName name="cst_wskakunin_APPLICANT_NAME">DATA!$F$68</definedName>
    <definedName name="cst_wskakunin_BOUKA_22JYO">DATA!$F$915</definedName>
    <definedName name="cst_wskakunin_BOUKA_BOUKA">DATA!$F$912</definedName>
    <definedName name="cst_wskakunin_BOUKA_JYUN_BOUKA">DATA!$F$913</definedName>
    <definedName name="cst_wskakunin_BOUKA_NASI">DATA!$F$914</definedName>
    <definedName name="cst_wskakunin_BOUKA_SETUBI_FLAG">DATA!$F$1173</definedName>
    <definedName name="cst_wskakunin_BOUKA_SETUBI_FLAG_box_off">DATA!$F$1175</definedName>
    <definedName name="cst_wskakunin_BOUKA_SETUBI_FLAG_box_on">DATA!$F$1174</definedName>
    <definedName name="cst_wskakunin_BUILD__address">DATA!$F$891</definedName>
    <definedName name="cst_wskakunin_BUILD_ADDRESS">DATA!$F$893</definedName>
    <definedName name="cst_wskakunin_BUILD_JYUKYO__address">DATA!$F$896</definedName>
    <definedName name="cst_wskakunin_BUILD_JYUKYO_ADDRESS">DATA!$F$898</definedName>
    <definedName name="cst_wskakunin_BUILD_JYUKYO_KEN__ken">DATA!$F$897</definedName>
    <definedName name="cst_wskakunin_BUILD_KEN__ken">DATA!$F$892</definedName>
    <definedName name="cst_wskakunin_BUILD_NAME">DATA!$F$828</definedName>
    <definedName name="cst_wskakunin_BUILD_NAME_KANA">DATA!$F$829</definedName>
    <definedName name="cst_wskakunin_BUILD_SHINSEI_COUNT">DATA!$F$1085</definedName>
    <definedName name="cst_wskakunin_BUILD_SONOTA_COUNT">DATA!$F$1086</definedName>
    <definedName name="cst_wskakunin_dairi1__address">DATA!$F$196</definedName>
    <definedName name="cst_wskakunin_dairi1__sikaku">DATA!$F$184</definedName>
    <definedName name="cst_wskakunin_dairi1__space">DATA!$F$199</definedName>
    <definedName name="cst_wskakunin_dairi1_FAX">DATA!$F$198</definedName>
    <definedName name="cst_wskakunin_dairi1_JIMU__sikaku">DATA!$F$190</definedName>
    <definedName name="cst_wskakunin_dairi1_JIMU_NAME">DATA!$F$194</definedName>
    <definedName name="cst_wskakunin_dairi1_JIMU_NO">DATA!$F$193</definedName>
    <definedName name="cst_wskakunin_dairi1_JIMU_SIKAKU">DATA!$F$191</definedName>
    <definedName name="cst_wskakunin_dairi1_JIMU_TOUROKU_KIKAN">DATA!$F$192</definedName>
    <definedName name="cst_wskakunin_dairi1_KENTIKUSI_NO">DATA!$F$187</definedName>
    <definedName name="cst_wskakunin_dairi1_NAME">DATA!$F$188</definedName>
    <definedName name="cst_wskakunin_dairi1_NAME_KANA">DATA!$F$189</definedName>
    <definedName name="cst_wskakunin_dairi1_SIKAKU">DATA!$F$185</definedName>
    <definedName name="cst_wskakunin_dairi1_TEL">DATA!$F$197</definedName>
    <definedName name="cst_wskakunin_dairi1_TOUROKU_KIKAN">DATA!$F$186</definedName>
    <definedName name="cst_wskakunin_dairi1_ZIP">DATA!$F$195</definedName>
    <definedName name="cst_wskakunin_dairi2__address">DATA!$F$214</definedName>
    <definedName name="cst_wskakunin_dairi2__sikaku">DATA!$F$202</definedName>
    <definedName name="cst_wskakunin_dairi2__space">DATA!$F$217</definedName>
    <definedName name="cst_wskakunin_dairi2_FAX">DATA!$F$216</definedName>
    <definedName name="cst_wskakunin_dairi2_JIMU__sikaku">DATA!$F$208</definedName>
    <definedName name="cst_wskakunin_dairi2_JIMU_NAME">DATA!$F$212</definedName>
    <definedName name="cst_wskakunin_dairi2_JIMU_NO">DATA!$F$211</definedName>
    <definedName name="cst_wskakunin_dairi2_JIMU_SIKAKU">DATA!$F$209</definedName>
    <definedName name="cst_wskakunin_dairi2_JIMU_TOUROKU_KIKAN">DATA!$F$210</definedName>
    <definedName name="cst_wskakunin_dairi2_KENTIKUSI_NO">DATA!$F$205</definedName>
    <definedName name="cst_wskakunin_dairi2_NAME">DATA!$F$206</definedName>
    <definedName name="cst_wskakunin_dairi2_NAME_KANA">DATA!$F$207</definedName>
    <definedName name="cst_wskakunin_dairi2_SIKAKU">DATA!$F$203</definedName>
    <definedName name="cst_wskakunin_dairi2_TEL">DATA!$F$215</definedName>
    <definedName name="cst_wskakunin_dairi2_TOUROKU_KIKAN">DATA!$F$204</definedName>
    <definedName name="cst_wskakunin_dairi2_ZIP">DATA!$F$213</definedName>
    <definedName name="cst_wskakunin_dairi3__address">DATA!$F$232</definedName>
    <definedName name="cst_wskakunin_dairi3__sikaku">DATA!$F$220</definedName>
    <definedName name="cst_wskakunin_dairi3__space">DATA!$F$235</definedName>
    <definedName name="cst_wskakunin_dairi3_FAX">DATA!$F$234</definedName>
    <definedName name="cst_wskakunin_dairi3_JIMU__sikaku">DATA!$F$226</definedName>
    <definedName name="cst_wskakunin_dairi3_JIMU_NAME">DATA!$F$230</definedName>
    <definedName name="cst_wskakunin_dairi3_JIMU_NO">DATA!$F$229</definedName>
    <definedName name="cst_wskakunin_dairi3_JIMU_SIKAKU">DATA!$F$227</definedName>
    <definedName name="cst_wskakunin_dairi3_JIMU_TOUROKU_KIKAN">DATA!$F$228</definedName>
    <definedName name="cst_wskakunin_dairi3_KENTIKUSI_NO">DATA!$F$223</definedName>
    <definedName name="cst_wskakunin_dairi3_NAME">DATA!$F$224</definedName>
    <definedName name="cst_wskakunin_dairi3_NAME_KANA">DATA!$F$225</definedName>
    <definedName name="cst_wskakunin_dairi3_SIKAKU">DATA!$F$221</definedName>
    <definedName name="cst_wskakunin_dairi3_TEL">DATA!$F$233</definedName>
    <definedName name="cst_wskakunin_dairi3_TOUROKU_KIKAN">DATA!$F$222</definedName>
    <definedName name="cst_wskakunin_dairi3_ZIP">DATA!$F$231</definedName>
    <definedName name="cst_wskakunin_dairi4__address">DATA!$F$250</definedName>
    <definedName name="cst_wskakunin_dairi4__sikaku">DATA!$F$238</definedName>
    <definedName name="cst_wskakunin_dairi4__space">DATA!$F$253</definedName>
    <definedName name="cst_wskakunin_dairi4_FAX">DATA!$F$252</definedName>
    <definedName name="cst_wskakunin_dairi4_JIMU__sikaku">DATA!$F$244</definedName>
    <definedName name="cst_wskakunin_dairi4_JIMU_NAME">DATA!$F$248</definedName>
    <definedName name="cst_wskakunin_dairi4_JIMU_NO">DATA!$F$247</definedName>
    <definedName name="cst_wskakunin_dairi4_JIMU_SIKAKU">DATA!$F$245</definedName>
    <definedName name="cst_wskakunin_dairi4_JIMU_TOUROKU_KIKAN">DATA!$F$246</definedName>
    <definedName name="cst_wskakunin_dairi4_KENTIKUSI_NO">DATA!$F$241</definedName>
    <definedName name="cst_wskakunin_dairi4_NAME">DATA!$F$242</definedName>
    <definedName name="cst_wskakunin_dairi4_NAME_KANA">DATA!$F$243</definedName>
    <definedName name="cst_wskakunin_dairi4_SIKAKU">DATA!$F$239</definedName>
    <definedName name="cst_wskakunin_dairi4_TEL">DATA!$F$251</definedName>
    <definedName name="cst_wskakunin_dairi4_TOUROKU_KIKAN">DATA!$F$240</definedName>
    <definedName name="cst_wskakunin_dairi4_ZIP">DATA!$F$249</definedName>
    <definedName name="cst_wskakunin_dairi5__address">DATA!$F$268</definedName>
    <definedName name="cst_wskakunin_dairi5__sikaku">DATA!$F$256</definedName>
    <definedName name="cst_wskakunin_dairi5__space">DATA!$F$271</definedName>
    <definedName name="cst_wskakunin_dairi5_FAX">DATA!$F$270</definedName>
    <definedName name="cst_wskakunin_dairi5_JIMU__sikaku">DATA!$F$262</definedName>
    <definedName name="cst_wskakunin_dairi5_JIMU_NAME">DATA!$F$266</definedName>
    <definedName name="cst_wskakunin_dairi5_JIMU_NO">DATA!$F$265</definedName>
    <definedName name="cst_wskakunin_dairi5_JIMU_SIKAKU">DATA!$F$263</definedName>
    <definedName name="cst_wskakunin_dairi5_JIMU_TOUROKU_KIKAN">DATA!$F$264</definedName>
    <definedName name="cst_wskakunin_dairi5_KENTIKUSI_NO">DATA!$F$259</definedName>
    <definedName name="cst_wskakunin_dairi5_NAME">DATA!$F$260</definedName>
    <definedName name="cst_wskakunin_dairi5_NAME_KANA">DATA!$F$261</definedName>
    <definedName name="cst_wskakunin_dairi5_SIKAKU">DATA!$F$257</definedName>
    <definedName name="cst_wskakunin_dairi5_TEL">DATA!$F$269</definedName>
    <definedName name="cst_wskakunin_dairi5_TOUROKU_KIKAN">DATA!$F$258</definedName>
    <definedName name="cst_wskakunin_dairi5_ZIP">DATA!$F$267</definedName>
    <definedName name="cst_wskakunin_DOURO_FUKUIN">DATA!$F$920</definedName>
    <definedName name="cst_wskakunin_DOURO_NAGASA">DATA!$F$921</definedName>
    <definedName name="cst_wskakunin_ecotekihan01_FUYOU_CAUSE">DATA!$F$858</definedName>
    <definedName name="cst_wskakunin_ecotekihan01_miteisyutu_kikan_info">DATA!$F$857</definedName>
    <definedName name="cst_wskakunin_ecotekihan01_teisyutu_kikan_info">DATA!$F$856</definedName>
    <definedName name="cst_wskakunin_ecotekihan01_TEKIHAN_KIKAN_ADDRESS">DATA!$F$854</definedName>
    <definedName name="cst_wskakunin_ecotekihan01_TEKIHAN_KIKAN_KEN__ken">DATA!$F$853</definedName>
    <definedName name="cst_wskakunin_ecotekihan01_TEKIHAN_KIKAN_NAME">DATA!$F$852</definedName>
    <definedName name="cst_wskakunin_ecotekihan01_TEKIHAN_STATE_miteisyutu">DATA!$F$850</definedName>
    <definedName name="cst_wskakunin_ecotekihan01_TEKIHAN_STATE_teisyutu">DATA!$F$849</definedName>
    <definedName name="cst_wskakunin_ecotekihan01_TEKIHAN_STATE_teisyutufuyou">DATA!$F$851</definedName>
    <definedName name="cst_wskakunin_gaiyou1_EV_KIND">DATA!$F$989</definedName>
    <definedName name="cst_wskakunin_gaiyou1_KOUJI_KAITIKU">DATA!$F$976</definedName>
    <definedName name="cst_wskakunin_gaiyou1_KOUJI_SINTIKU">DATA!$F$974</definedName>
    <definedName name="cst_wskakunin_gaiyou1_KOUJI_SONOTA">DATA!$F$977</definedName>
    <definedName name="cst_wskakunin_gaiyou1_KOUJI_SONOTA_TEXT">DATA!$F$978</definedName>
    <definedName name="cst_wskakunin_gaiyou1_KOUJI_ZOUTIKU">DATA!$F$975</definedName>
    <definedName name="cst_wskakunin_gaiyou1_KOUZOU">DATA!$F$973</definedName>
    <definedName name="cst_wskakunin_gaiyou1_NINSYOU_NO">DATA!$F$995</definedName>
    <definedName name="cst_wskakunin_gaiyou1_NO">DATA!$F$988</definedName>
    <definedName name="cst_wskakunin_gaiyou1_SEKISAI">DATA!$F$991</definedName>
    <definedName name="cst_wskakunin_gaiyou1_SONOTA">DATA!$F$994</definedName>
    <definedName name="cst_wskakunin_gaiyou1_SONOTA_and_NINSYOU_NO">DATA!$F$996</definedName>
    <definedName name="cst_wskakunin_gaiyou1_SPEED">DATA!$F$993</definedName>
    <definedName name="cst_wskakunin_gaiyou1_TAKASA">DATA!$F$972</definedName>
    <definedName name="cst_wskakunin_gaiyou1_TEIIN">DATA!$F$992</definedName>
    <definedName name="cst_wskakunin_gaiyou1_TIKUZOU_MENSEKI_IGAI">DATA!$F$981</definedName>
    <definedName name="cst_wskakunin_gaiyou1_TIKUZOU_MENSEKI_SHINSEI">DATA!$F$980</definedName>
    <definedName name="cst_wskakunin_gaiyou1_TIKUZOU_MENSEKI_TOTAL">DATA!$F$982</definedName>
    <definedName name="cst_wskakunin_gaiyou1_WORK_COUNT_IGAI">DATA!$F$984</definedName>
    <definedName name="cst_wskakunin_gaiyou1_WORK_COUNT_SHINSEI">DATA!$F$983</definedName>
    <definedName name="cst_wskakunin_gaiyou1_WORK_COUNT_TOTAL">DATA!$F$985</definedName>
    <definedName name="cst_wskakunin_gaiyou1_WORK_SYURUI">DATA!$F$971</definedName>
    <definedName name="cst_wskakunin_gaiyou1_WORK_SYURUI_CODE">DATA!$F$970</definedName>
    <definedName name="cst_wskakunin_gaiyou1_YOUTO">DATA!$F$990</definedName>
    <definedName name="cst_wskakunin_iken1__address">DATA!$F$531</definedName>
    <definedName name="cst_wskakunin_iken1_DOC">DATA!$F$534</definedName>
    <definedName name="cst_wskakunin_iken1_IKEN_NO">DATA!$F$533</definedName>
    <definedName name="cst_wskakunin_iken1_JIMU_NAME">DATA!$F$529</definedName>
    <definedName name="cst_wskakunin_iken1_NAME">DATA!$F$528</definedName>
    <definedName name="cst_wskakunin_iken1_TEL">DATA!$F$532</definedName>
    <definedName name="cst_wskakunin_iken1_ZIP">DATA!$F$530</definedName>
    <definedName name="cst_wskakunin_iken2__address">DATA!$F$540</definedName>
    <definedName name="cst_wskakunin_iken2_DOC">DATA!$F$543</definedName>
    <definedName name="cst_wskakunin_iken2_IKEN_NO">DATA!$F$542</definedName>
    <definedName name="cst_wskakunin_iken2_JIMU_NAME">DATA!$F$538</definedName>
    <definedName name="cst_wskakunin_iken2_NAME">DATA!$F$537</definedName>
    <definedName name="cst_wskakunin_iken2_TEL">DATA!$F$541</definedName>
    <definedName name="cst_wskakunin_iken2_ZIP">DATA!$F$539</definedName>
    <definedName name="cst_wskakunin_iken3__address">DATA!$F$549</definedName>
    <definedName name="cst_wskakunin_iken3_DOC">DATA!$F$552</definedName>
    <definedName name="cst_wskakunin_iken3_IKEN_NO">DATA!$F$551</definedName>
    <definedName name="cst_wskakunin_iken3_JIMU_NAME">DATA!$F$547</definedName>
    <definedName name="cst_wskakunin_iken3_NAME">DATA!$F$546</definedName>
    <definedName name="cst_wskakunin_iken3_TEL">DATA!$F$550</definedName>
    <definedName name="cst_wskakunin_iken3_ZIP">DATA!$F$548</definedName>
    <definedName name="cst_wskakunin_iken4__address">DATA!$F$558</definedName>
    <definedName name="cst_wskakunin_iken4_DOC">DATA!$F$561</definedName>
    <definedName name="cst_wskakunin_iken4_IKEN_NO">DATA!$F$560</definedName>
    <definedName name="cst_wskakunin_iken4_JIMU_NAME">DATA!$F$556</definedName>
    <definedName name="cst_wskakunin_iken4_NAME">DATA!$F$555</definedName>
    <definedName name="cst_wskakunin_iken4_TEL">DATA!$F$559</definedName>
    <definedName name="cst_wskakunin_iken4_ZIP">DATA!$F$557</definedName>
    <definedName name="cst_wskakunin_iken5__address">DATA!$F$566</definedName>
    <definedName name="cst_wskakunin_iken5_DOC">DATA!$F$569</definedName>
    <definedName name="cst_wskakunin_iken5_IKEN_NO">DATA!$F$568</definedName>
    <definedName name="cst_wskakunin_iken5_JIMU_NAME">DATA!$F$564</definedName>
    <definedName name="cst_wskakunin_iken5_NAME">DATA!$F$563</definedName>
    <definedName name="cst_wskakunin_iken5_TEL">DATA!$F$567</definedName>
    <definedName name="cst_wskakunin_iken5_ZIP">DATA!$F$565</definedName>
    <definedName name="cst_wskakunin_KAISU_TIJYOU_SHINSEI">DATA!$F$1093</definedName>
    <definedName name="cst_wskakunin_KAISU_TIJYOU_SONOTA">DATA!$F$1094</definedName>
    <definedName name="cst_wskakunin_KAISU_TIKA_SHINSEI__zero">DATA!$F$1096</definedName>
    <definedName name="cst_wskakunin_KAISU_TIKA_SONOTA">DATA!$F$1097</definedName>
    <definedName name="cst_wskakunin_kanri1__address">DATA!$F$584</definedName>
    <definedName name="cst_wskakunin_kanri1__sikaku">DATA!$F$572</definedName>
    <definedName name="cst_wskakunin_kanri1_DOC">DATA!$F$586</definedName>
    <definedName name="cst_wskakunin_kanri1_JIMU">DATA!$F$577</definedName>
    <definedName name="cst_wskakunin_kanri1_JIMU_NAME">DATA!$F$581</definedName>
    <definedName name="cst_wskakunin_kanri1_JIMU_NO">DATA!$F$580</definedName>
    <definedName name="cst_wskakunin_kanri1_JIMU_SIKAKU">DATA!$F$578</definedName>
    <definedName name="cst_wskakunin_kanri1_JIMU_TOUROKU_KIKAN">DATA!$F$579</definedName>
    <definedName name="cst_wskakunin_kanri1_KENTIKUSI_NO">DATA!$F$575</definedName>
    <definedName name="cst_wskakunin_kanri1_NAME">DATA!$F$576</definedName>
    <definedName name="cst_wskakunin_kanri1_SIKAKU">DATA!$F$573</definedName>
    <definedName name="cst_wskakunin_kanri1_TEL">DATA!$F$585</definedName>
    <definedName name="cst_wskakunin_kanri1_TOUROKU_KIKAN">DATA!$F$574</definedName>
    <definedName name="cst_wskakunin_kanri1_ZIP">DATA!$F$582</definedName>
    <definedName name="cst_wskakunin_kanri1_ZIP2">DATA!$F$583</definedName>
    <definedName name="cst_wskakunin_kanri10__address">DATA!$F$728</definedName>
    <definedName name="cst_wskakunin_kanri10__sikaku">DATA!$F$717</definedName>
    <definedName name="cst_wskakunin_kanri10_DOC">DATA!$F$730</definedName>
    <definedName name="cst_wskakunin_kanri10_JIMU__sikaku">DATA!$F$722</definedName>
    <definedName name="cst_wskakunin_kanri10_JIMU_NAME">DATA!$F$726</definedName>
    <definedName name="cst_wskakunin_kanri10_JIMU_NO">DATA!$F$725</definedName>
    <definedName name="cst_wskakunin_kanri10_JIMU_SIKAKU">DATA!$F$723</definedName>
    <definedName name="cst_wskakunin_kanri10_JIMU_TOUROKU_KIKAN">DATA!$F$724</definedName>
    <definedName name="cst_wskakunin_kanri10_KENTIKUSI_NO">DATA!$F$720</definedName>
    <definedName name="cst_wskakunin_kanri10_NAME">DATA!$F$721</definedName>
    <definedName name="cst_wskakunin_kanri10_SIKAKU">DATA!$F$718</definedName>
    <definedName name="cst_wskakunin_kanri10_TEL">DATA!$F$729</definedName>
    <definedName name="cst_wskakunin_kanri10_TOUROKU_KIKAN">DATA!$F$719</definedName>
    <definedName name="cst_wskakunin_kanri10_ZIP">DATA!$F$727</definedName>
    <definedName name="cst_wskakunin_kanri11__address">DATA!$F$744</definedName>
    <definedName name="cst_wskakunin_kanri11__sikaku">DATA!$F$733</definedName>
    <definedName name="cst_wskakunin_kanri11_DOC">DATA!$F$746</definedName>
    <definedName name="cst_wskakunin_kanri11_JIMU__sikaku">DATA!$F$738</definedName>
    <definedName name="cst_wskakunin_kanri11_JIMU_NAME">DATA!$F$742</definedName>
    <definedName name="cst_wskakunin_kanri11_JIMU_NO">DATA!$F$741</definedName>
    <definedName name="cst_wskakunin_kanri11_JIMU_SIKAKU">DATA!$F$739</definedName>
    <definedName name="cst_wskakunin_kanri11_JIMU_TOUROKU_KIKAN">DATA!$F$740</definedName>
    <definedName name="cst_wskakunin_kanri11_KENTIKUSI_NO">DATA!$F$736</definedName>
    <definedName name="cst_wskakunin_kanri11_NAME">DATA!$F$737</definedName>
    <definedName name="cst_wskakunin_kanri11_SIKAKU">DATA!$F$734</definedName>
    <definedName name="cst_wskakunin_kanri11_TEL">DATA!$F$745</definedName>
    <definedName name="cst_wskakunin_kanri11_TOUROKU_KIKAN">DATA!$F$735</definedName>
    <definedName name="cst_wskakunin_kanri11_ZIP">DATA!$F$743</definedName>
    <definedName name="cst_wskakunin_kanri12__address">DATA!$F$760</definedName>
    <definedName name="cst_wskakunin_kanri12__sikaku">DATA!$F$749</definedName>
    <definedName name="cst_wskakunin_kanri12_DOC">DATA!$F$762</definedName>
    <definedName name="cst_wskakunin_kanri12_JIMU__sikaku">DATA!$F$754</definedName>
    <definedName name="cst_wskakunin_kanri12_JIMU_NAME">DATA!$F$758</definedName>
    <definedName name="cst_wskakunin_kanri12_JIMU_NO">DATA!$F$757</definedName>
    <definedName name="cst_wskakunin_kanri12_JIMU_SIKAKU">DATA!$F$755</definedName>
    <definedName name="cst_wskakunin_kanri12_JIMU_TOUROKU_KIKAN">DATA!$F$756</definedName>
    <definedName name="cst_wskakunin_kanri12_KENTIKUSI_NO">DATA!$F$752</definedName>
    <definedName name="cst_wskakunin_kanri12_NAME">DATA!$F$753</definedName>
    <definedName name="cst_wskakunin_kanri12_SIKAKU">DATA!$F$750</definedName>
    <definedName name="cst_wskakunin_kanri12_TEL">DATA!$F$761</definedName>
    <definedName name="cst_wskakunin_kanri12_TOUROKU_KIKAN">DATA!$F$751</definedName>
    <definedName name="cst_wskakunin_kanri12_ZIP">DATA!$F$759</definedName>
    <definedName name="cst_wskakunin_kanri2__address">DATA!$F$600</definedName>
    <definedName name="cst_wskakunin_kanri2__sikaku">DATA!$F$589</definedName>
    <definedName name="cst_wskakunin_kanri2_DOC">DATA!$F$602</definedName>
    <definedName name="cst_wskakunin_kanri2_JIMU">DATA!$F$594</definedName>
    <definedName name="cst_wskakunin_kanri2_JIMU_NAME">DATA!$F$598</definedName>
    <definedName name="cst_wskakunin_kanri2_JIMU_NO">DATA!$F$597</definedName>
    <definedName name="cst_wskakunin_kanri2_JIMU_SIKAKU">DATA!$F$595</definedName>
    <definedName name="cst_wskakunin_kanri2_JIMU_TOUROKU_KIKAN">DATA!$F$596</definedName>
    <definedName name="cst_wskakunin_kanri2_KENTIKUSI_NO">DATA!$F$592</definedName>
    <definedName name="cst_wskakunin_kanri2_NAME">DATA!$F$593</definedName>
    <definedName name="cst_wskakunin_kanri2_SIKAKU">DATA!$F$590</definedName>
    <definedName name="cst_wskakunin_kanri2_TEL">DATA!$F$601</definedName>
    <definedName name="cst_wskakunin_kanri2_TOUROKU_KIKAN">DATA!$F$591</definedName>
    <definedName name="cst_wskakunin_kanri2_ZIP">DATA!$F$599</definedName>
    <definedName name="cst_wskakunin_kanri3__address">DATA!$F$616</definedName>
    <definedName name="cst_wskakunin_kanri3__sikaku">DATA!$F$605</definedName>
    <definedName name="cst_wskakunin_kanri3_DOC">DATA!$F$618</definedName>
    <definedName name="cst_wskakunin_kanri3_JIMU__sikaku">DATA!$F$610</definedName>
    <definedName name="cst_wskakunin_kanri3_JIMU_NAME">DATA!$F$614</definedName>
    <definedName name="cst_wskakunin_kanri3_JIMU_NO">DATA!$F$613</definedName>
    <definedName name="cst_wskakunin_kanri3_JIMU_SIKAKU">DATA!$F$611</definedName>
    <definedName name="cst_wskakunin_kanri3_JIMU_TOUROKU_KIKAN">DATA!$F$612</definedName>
    <definedName name="cst_wskakunin_kanri3_KENTIKUSI_NO">DATA!$F$608</definedName>
    <definedName name="cst_wskakunin_kanri3_NAME">DATA!$F$609</definedName>
    <definedName name="cst_wskakunin_kanri3_SIKAKU">DATA!$F$606</definedName>
    <definedName name="cst_wskakunin_kanri3_TEL">DATA!$F$617</definedName>
    <definedName name="cst_wskakunin_kanri3_TOUROKU_KIKAN">DATA!$F$607</definedName>
    <definedName name="cst_wskakunin_kanri3_ZIP">DATA!$F$615</definedName>
    <definedName name="cst_wskakunin_kanri4__address">DATA!$F$632</definedName>
    <definedName name="cst_wskakunin_kanri4__sikaku">DATA!$F$621</definedName>
    <definedName name="cst_wskakunin_kanri4_DOC">DATA!$F$634</definedName>
    <definedName name="cst_wskakunin_kanri4_JIMU__sikaku">DATA!$F$626</definedName>
    <definedName name="cst_wskakunin_kanri4_JIMU_NAME">DATA!$F$630</definedName>
    <definedName name="cst_wskakunin_kanri4_JIMU_NO">DATA!$F$629</definedName>
    <definedName name="cst_wskakunin_kanri4_JIMU_SIKAKU">DATA!$F$627</definedName>
    <definedName name="cst_wskakunin_kanri4_JIMU_TOUROKU_KIKAN">DATA!$F$628</definedName>
    <definedName name="cst_wskakunin_kanri4_KENTIKUSI_NO">DATA!$F$624</definedName>
    <definedName name="cst_wskakunin_kanri4_NAME">DATA!$F$625</definedName>
    <definedName name="cst_wskakunin_kanri4_SIKAKU">DATA!$F$622</definedName>
    <definedName name="cst_wskakunin_kanri4_TEL">DATA!$F$633</definedName>
    <definedName name="cst_wskakunin_kanri4_TOUROKU_KIKAN">DATA!$F$623</definedName>
    <definedName name="cst_wskakunin_kanri4_ZIP">DATA!$F$631</definedName>
    <definedName name="cst_wskakunin_kanri5__address">DATA!$F$648</definedName>
    <definedName name="cst_wskakunin_kanri5__sikaku">DATA!$F$637</definedName>
    <definedName name="cst_wskakunin_kanri5_DOC">DATA!$F$650</definedName>
    <definedName name="cst_wskakunin_kanri5_JIMU__sikaku">DATA!$F$642</definedName>
    <definedName name="cst_wskakunin_kanri5_JIMU_NAME">DATA!$F$646</definedName>
    <definedName name="cst_wskakunin_kanri5_JIMU_NO">DATA!$F$645</definedName>
    <definedName name="cst_wskakunin_kanri5_JIMU_SIKAKU">DATA!$F$643</definedName>
    <definedName name="cst_wskakunin_kanri5_JIMU_TOUROKU_KIKAN">DATA!$F$644</definedName>
    <definedName name="cst_wskakunin_kanri5_KENTIKUSI_NO">DATA!$F$640</definedName>
    <definedName name="cst_wskakunin_kanri5_NAME">DATA!$F$641</definedName>
    <definedName name="cst_wskakunin_kanri5_SIKAKU">DATA!$F$638</definedName>
    <definedName name="cst_wskakunin_kanri5_TEL">DATA!$F$649</definedName>
    <definedName name="cst_wskakunin_kanri5_TOUROKU_KIKAN">DATA!$F$639</definedName>
    <definedName name="cst_wskakunin_kanri5_ZIP">DATA!$F$647</definedName>
    <definedName name="cst_wskakunin_kanri6__address">DATA!$F$664</definedName>
    <definedName name="cst_wskakunin_kanri6__sikaku">DATA!$F$653</definedName>
    <definedName name="cst_wskakunin_kanri6_DOC">DATA!$F$666</definedName>
    <definedName name="cst_wskakunin_kanri6_JIMU__sikaku">DATA!$F$658</definedName>
    <definedName name="cst_wskakunin_kanri6_JIMU_NAME">DATA!$F$662</definedName>
    <definedName name="cst_wskakunin_kanri6_JIMU_NO">DATA!$F$661</definedName>
    <definedName name="cst_wskakunin_kanri6_JIMU_SIKAKU">DATA!$F$659</definedName>
    <definedName name="cst_wskakunin_kanri6_JIMU_TOUROKU_KIKAN">DATA!$F$660</definedName>
    <definedName name="cst_wskakunin_kanri6_KENTIKUSI_NO">DATA!$F$656</definedName>
    <definedName name="cst_wskakunin_kanri6_NAME">DATA!$F$657</definedName>
    <definedName name="cst_wskakunin_kanri6_SIKAKU">DATA!$F$654</definedName>
    <definedName name="cst_wskakunin_kanri6_TEL">DATA!$F$665</definedName>
    <definedName name="cst_wskakunin_kanri6_TOUROKU_KIKAN">DATA!$F$655</definedName>
    <definedName name="cst_wskakunin_kanri6_ZIP">DATA!$F$663</definedName>
    <definedName name="cst_wskakunin_kanri7__address">DATA!$F$680</definedName>
    <definedName name="cst_wskakunin_kanri7__sikaku">DATA!$F$669</definedName>
    <definedName name="cst_wskakunin_kanri7_DOC">DATA!$F$682</definedName>
    <definedName name="cst_wskakunin_kanri7_JIMU__sikaku">DATA!$F$674</definedName>
    <definedName name="cst_wskakunin_kanri7_JIMU_NAME">DATA!$F$678</definedName>
    <definedName name="cst_wskakunin_kanri7_JIMU_NO">DATA!$F$677</definedName>
    <definedName name="cst_wskakunin_kanri7_JIMU_SIKAKU">DATA!$F$675</definedName>
    <definedName name="cst_wskakunin_kanri7_JIMU_TOUROKU_KIKAN">DATA!$F$676</definedName>
    <definedName name="cst_wskakunin_kanri7_KENTIKUSI_NO">DATA!$F$672</definedName>
    <definedName name="cst_wskakunin_kanri7_NAME">DATA!$F$673</definedName>
    <definedName name="cst_wskakunin_kanri7_SIKAKU">DATA!$F$670</definedName>
    <definedName name="cst_wskakunin_kanri7_TEL">DATA!$F$681</definedName>
    <definedName name="cst_wskakunin_kanri7_TOUROKU_KIKAN">DATA!$F$671</definedName>
    <definedName name="cst_wskakunin_kanri7_ZIP">DATA!$F$679</definedName>
    <definedName name="cst_wskakunin_kanri8__address">DATA!$F$696</definedName>
    <definedName name="cst_wskakunin_kanri8__sikaku">DATA!$F$685</definedName>
    <definedName name="cst_wskakunin_kanri8_DOC">DATA!$F$698</definedName>
    <definedName name="cst_wskakunin_kanri8_JIMU__sikaku">DATA!$F$690</definedName>
    <definedName name="cst_wskakunin_kanri8_JIMU_NAME">DATA!$F$694</definedName>
    <definedName name="cst_wskakunin_kanri8_JIMU_NO">DATA!$F$693</definedName>
    <definedName name="cst_wskakunin_kanri8_JIMU_SIKAKU">DATA!$F$691</definedName>
    <definedName name="cst_wskakunin_kanri8_JIMU_TOUROKU_KIKAN">DATA!$F$692</definedName>
    <definedName name="cst_wskakunin_kanri8_KENTIKUSI_NO">DATA!$F$688</definedName>
    <definedName name="cst_wskakunin_kanri8_NAME">DATA!$F$689</definedName>
    <definedName name="cst_wskakunin_kanri8_SIKAKU">DATA!$F$686</definedName>
    <definedName name="cst_wskakunin_kanri8_TEL">DATA!$F$697</definedName>
    <definedName name="cst_wskakunin_kanri8_TOUROKU_KIKAN">DATA!$F$687</definedName>
    <definedName name="cst_wskakunin_kanri8_ZIP">DATA!$F$695</definedName>
    <definedName name="cst_wskakunin_kanri9__address">DATA!$F$712</definedName>
    <definedName name="cst_wskakunin_kanri9__sikaku">DATA!$F$701</definedName>
    <definedName name="cst_wskakunin_kanri9_DOC">DATA!$F$714</definedName>
    <definedName name="cst_wskakunin_kanri9_JIMU__sikaku">DATA!$F$706</definedName>
    <definedName name="cst_wskakunin_kanri9_JIMU_NAME">DATA!$F$710</definedName>
    <definedName name="cst_wskakunin_kanri9_JIMU_NO">DATA!$F$709</definedName>
    <definedName name="cst_wskakunin_kanri9_JIMU_SIKAKU">DATA!$F$707</definedName>
    <definedName name="cst_wskakunin_kanri9_JIMU_TOUROKU_KIKAN">DATA!$F$708</definedName>
    <definedName name="cst_wskakunin_kanri9_KENTIKUSI_NO">DATA!$F$704</definedName>
    <definedName name="cst_wskakunin_kanri9_NAME">DATA!$F$705</definedName>
    <definedName name="cst_wskakunin_kanri9_SIKAKU">DATA!$F$702</definedName>
    <definedName name="cst_wskakunin_kanri9_TEL">DATA!$F$713</definedName>
    <definedName name="cst_wskakunin_kanri9_TOUROKU_KIKAN">DATA!$F$703</definedName>
    <definedName name="cst_wskakunin_kanri9_ZIP">DATA!$F$711</definedName>
    <definedName name="cst_wskakunin_keibi_henkou01_HENKOU_GAIYOU">DATA!$F$1296</definedName>
    <definedName name="cst_wskakunin_keibi_henkou01_HENKOU_SYURUI">DATA!$F$1295</definedName>
    <definedName name="cst_wskakunin_KENPEI_RITU">DATA!$F$1005</definedName>
    <definedName name="cst_wskakunin_KENPEI_RITU_A">DATA!$F$944</definedName>
    <definedName name="cst_wskakunin_KENPEI_RITU_B">DATA!$F$945</definedName>
    <definedName name="cst_wskakunin_KENPEI_RITU_C">DATA!$F$946</definedName>
    <definedName name="cst_wskakunin_KENPEI_RITU_D">DATA!$F$947</definedName>
    <definedName name="cst_wskakunin_KENSA_YUKA_MENSEKI_select">DATA!$F$1204</definedName>
    <definedName name="cst_wskakunin_KENTIKU_MENSEKI_IGAI">DATA!$F$1003</definedName>
    <definedName name="cst_wskakunin_KENTIKU_MENSEKI_SHINSEI">DATA!$F$1002</definedName>
    <definedName name="cst_wskakunin_KENTIKU_MENSEKI_TOTAL">DATA!$F$1004</definedName>
    <definedName name="cst_wskakunin_KENTIKU_MENSEKI_ZENTAI_IGAI">DATA!$F$1000</definedName>
    <definedName name="cst_wskakunin_KENTIKU_MENSEKI_ZENTAI_SHINSEI">DATA!$F$999</definedName>
    <definedName name="cst_wskakunin_KENTIKU_MENSEKI_ZENTAI_TOTAL">DATA!$F$1001</definedName>
    <definedName name="cst_wskakunin_KENTIKU_NINSYO_NO">DATA!$F$1192</definedName>
    <definedName name="cst_wskakunin_KIKAN_NAME">DATA!$F$51</definedName>
    <definedName name="cst_wskakunin_KITEI_CHOUSA_FLAG">DATA!$F$1170</definedName>
    <definedName name="cst_wskakunin_KITEI_CHOUSA_FLAG_box_off">DATA!$F$1172</definedName>
    <definedName name="cst_wskakunin_KITEI_CHOUSA_FLAG_box_on">DATA!$F$1171</definedName>
    <definedName name="cst_wskakunin_KOUJI_DAI_MOYOUGAE_box">DATA!$F$966</definedName>
    <definedName name="cst_wskakunin_KOUJI_DAI_SYUUZEN_box">DATA!$F$965</definedName>
    <definedName name="cst_wskakunin_KOUJI_ITEN_box">DATA!$F$963</definedName>
    <definedName name="cst_wskakunin_KOUJI_KAITIKU_box">DATA!$F$962</definedName>
    <definedName name="cst_wskakunin_KOUJI_KANRYOU_DATE_select">DATA!$F$1299</definedName>
    <definedName name="cst_wskakunin_KOUJI_KANRYOU_YOTEI_DATE">DATA!$F$1143</definedName>
    <definedName name="cst_wskakunin_KOUJI_KANRYOU_YOTEI_DATE_select">DATA!$F$1197</definedName>
    <definedName name="cst_wskakunin_KOUJI_SETUBI_box">DATA!$F$967</definedName>
    <definedName name="cst_wskakunin_KOUJI_SINTIKU_box">DATA!$F$960</definedName>
    <definedName name="cst_wskakunin_KOUJI_TYAKUSYU_DATE_select">DATA!$F$1194</definedName>
    <definedName name="cst_wskakunin_KOUJI_TYAKUSYU_YOTEI_DATE">DATA!$F$1141</definedName>
    <definedName name="cst_wskakunin_KOUJI_YOUTOHENKOU_box">DATA!$F$964</definedName>
    <definedName name="cst_wskakunin_KOUJI_ZOUTIKU_box">DATA!$F$961</definedName>
    <definedName name="cst_wskakunin_koutei_ikou01_KOUTEI_DATE">DATA!$F$1267</definedName>
    <definedName name="cst_wskakunin_koutei_ikou01_KOUTEI_DATE_inter1">DATA!$F$1277</definedName>
    <definedName name="cst_wskakunin_koutei_ikou01_KOUTEI_DATE_inter2">DATA!$F$1282</definedName>
    <definedName name="cst_wskakunin_koutei_ikou01_KOUTEI_KAISUU">DATA!$F$1265</definedName>
    <definedName name="cst_wskakunin_koutei_ikou01_KOUTEI_KAISUU_inter1">DATA!$F$1275</definedName>
    <definedName name="cst_wskakunin_koutei_ikou01_KOUTEI_KAISUU_inter2">DATA!$F$1280</definedName>
    <definedName name="cst_wskakunin_koutei_ikou01_KOUTEI_TEXT">DATA!$F$1266</definedName>
    <definedName name="cst_wskakunin_koutei_ikou01_KOUTEI_TEXT_inter1">DATA!$F$1276</definedName>
    <definedName name="cst_wskakunin_koutei_ikou01_KOUTEI_TEXT_inter2">DATA!$F$1281</definedName>
    <definedName name="cst_wskakunin_koutei_ikou02_KOUTEI_DATE">DATA!$F$1272</definedName>
    <definedName name="cst_wskakunin_koutei_ikou02_KOUTEI_DATE_inter1">DATA!$F$1287</definedName>
    <definedName name="cst_wskakunin_koutei_ikou02_KOUTEI_DATE_inter2">DATA!$F$1292</definedName>
    <definedName name="cst_wskakunin_koutei_ikou02_KOUTEI_KAISUU">DATA!$F$1270</definedName>
    <definedName name="cst_wskakunin_koutei_ikou02_KOUTEI_KAISUU_inter1">DATA!$F$1285</definedName>
    <definedName name="cst_wskakunin_koutei_ikou02_KOUTEI_KAISUU_inter2">DATA!$F$1290</definedName>
    <definedName name="cst_wskakunin_koutei_ikou02_KOUTEI_TEXT">DATA!$F$1271</definedName>
    <definedName name="cst_wskakunin_koutei_ikou02_KOUTEI_TEXT_inter1">DATA!$F$1286</definedName>
    <definedName name="cst_wskakunin_koutei_ikou02_KOUTEI_TEXT_inter2">DATA!$F$1291</definedName>
    <definedName name="cst_wskakunin_koutei_izen01_INTER_ISSUE_DATE">DATA!$F$1212</definedName>
    <definedName name="cst_wskakunin_koutei_izen01_INTER_ISSUE_DATE_inter1">DATA!$F$1240</definedName>
    <definedName name="cst_wskakunin_koutei_izen01_INTER_ISSUE_DATE_inter2">DATA!$F$1247</definedName>
    <definedName name="cst_wskakunin_koutei_izen01_INTER_ISSUE_NAME">DATA!$F$1210</definedName>
    <definedName name="cst_wskakunin_koutei_izen01_INTER_ISSUE_NAME_inter1">DATA!$F$1238</definedName>
    <definedName name="cst_wskakunin_koutei_izen01_INTER_ISSUE_NAME_inter2">DATA!$F$1245</definedName>
    <definedName name="cst_wskakunin_koutei_izen01_INTER_ISSUE_NO">DATA!$F$1211</definedName>
    <definedName name="cst_wskakunin_koutei_izen01_INTER_ISSUE_NO_inter1">DATA!$F$1239</definedName>
    <definedName name="cst_wskakunin_koutei_izen01_INTER_ISSUE_NO_inter2">DATA!$F$1246</definedName>
    <definedName name="cst_wskakunin_koutei_izen01_KOUTEI_KAISUU">DATA!$F$1208</definedName>
    <definedName name="cst_wskakunin_koutei_izen01_KOUTEI_KAISUU_inter1">DATA!$F$1236</definedName>
    <definedName name="cst_wskakunin_koutei_izen01_KOUTEI_KAISUU_inter2">DATA!$F$1243</definedName>
    <definedName name="cst_wskakunin_koutei_izen01_KOUTEI_TEXT">DATA!$F$1209</definedName>
    <definedName name="cst_wskakunin_koutei_izen01_KOUTEI_TEXT_inter1">DATA!$F$1237</definedName>
    <definedName name="cst_wskakunin_koutei_izen01_KOUTEI_TEXT_inter2">DATA!$F$1244</definedName>
    <definedName name="cst_wskakunin_koutei_izen02_INTER_ISSUE_DATE">DATA!$F$1219</definedName>
    <definedName name="cst_wskakunin_koutei_izen02_INTER_ISSUE_DATE_inter1">DATA!$F$1254</definedName>
    <definedName name="cst_wskakunin_koutei_izen02_INTER_ISSUE_DATE_inter2">DATA!$F$1261</definedName>
    <definedName name="cst_wskakunin_koutei_izen02_INTER_ISSUE_NAME">DATA!$F$1217</definedName>
    <definedName name="cst_wskakunin_koutei_izen02_INTER_ISSUE_NAME_inter1">DATA!$F$1252</definedName>
    <definedName name="cst_wskakunin_koutei_izen02_INTER_ISSUE_NAME_inter2">DATA!$F$1259</definedName>
    <definedName name="cst_wskakunin_koutei_izen02_INTER_ISSUE_NO">DATA!$F$1218</definedName>
    <definedName name="cst_wskakunin_koutei_izen02_INTER_ISSUE_NO_inter1">DATA!$F$1253</definedName>
    <definedName name="cst_wskakunin_koutei_izen02_INTER_ISSUE_NO_inter2">DATA!$F$1260</definedName>
    <definedName name="cst_wskakunin_koutei_izen02_KOUTEI_KAISUU">DATA!$F$1215</definedName>
    <definedName name="cst_wskakunin_koutei_izen02_KOUTEI_KAISUU_inter1">DATA!$F$1250</definedName>
    <definedName name="cst_wskakunin_koutei_izen02_KOUTEI_KAISUU_inter2">DATA!$F$1257</definedName>
    <definedName name="cst_wskakunin_koutei_izen02_KOUTEI_TEXT">DATA!$F$1216</definedName>
    <definedName name="cst_wskakunin_koutei_izen02_KOUTEI_TEXT_inter1">DATA!$F$1251</definedName>
    <definedName name="cst_wskakunin_koutei_izen02_KOUTEI_TEXT_inter2">DATA!$F$1258</definedName>
    <definedName name="cst_wskakunin_koutei_izen03_INTER_ISSUE_DATE">DATA!$F$1226</definedName>
    <definedName name="cst_wskakunin_koutei_izen03_INTER_ISSUE_NAME">DATA!$F$1224</definedName>
    <definedName name="cst_wskakunin_koutei_izen03_INTER_ISSUE_NO">DATA!$F$1225</definedName>
    <definedName name="cst_wskakunin_koutei_izen03_KOUTEI_KAISUU">DATA!$F$1222</definedName>
    <definedName name="cst_wskakunin_koutei_izen03_KOUTEI_TEXT">DATA!$F$1223</definedName>
    <definedName name="cst_wskakunin_koutei_izen04_INTER_ISSUE_DATE">DATA!$F$1233</definedName>
    <definedName name="cst_wskakunin_koutei_izen04_INTER_ISSUE_NAME">DATA!$F$1231</definedName>
    <definedName name="cst_wskakunin_koutei_izen04_INTER_ISSUE_NO">DATA!$F$1232</definedName>
    <definedName name="cst_wskakunin_koutei_izen04_KOUTEI_KAISUU">DATA!$F$1229</definedName>
    <definedName name="cst_wskakunin_koutei_izen04_KOUTEI_TEXT">DATA!$F$1230</definedName>
    <definedName name="cst_wskakunin_koutei_keika01_INTER_ISSUE_DATE_select">DATA!$F$1313</definedName>
    <definedName name="cst_wskakunin_koutei_keika01_INTER_ISSUE_NAME_select">DATA!$F$1311</definedName>
    <definedName name="cst_wskakunin_koutei_keika01_INTER_ISSUE_NO_select">DATA!$F$1312</definedName>
    <definedName name="cst_wskakunin_koutei_keika01_KOUTEI_KAISUU_select">DATA!$F$1309</definedName>
    <definedName name="cst_wskakunin_koutei_keika01_KOUTEI_TEXT_select">DATA!$F$1310</definedName>
    <definedName name="cst_wskakunin_koutei_keika02_INTER_ISSUE_DATE_select">DATA!$F$1328</definedName>
    <definedName name="cst_wskakunin_koutei_keika02_INTER_ISSUE_NAME_select">DATA!$F$1326</definedName>
    <definedName name="cst_wskakunin_koutei_keika02_INTER_ISSUE_NO_select">DATA!$F$1327</definedName>
    <definedName name="cst_wskakunin_koutei_keika02_KOUTEI_KAISUU_select">DATA!$F$1324</definedName>
    <definedName name="cst_wskakunin_koutei_keika02_KOUTEI_TEXT_select">DATA!$F$1325</definedName>
    <definedName name="cst_wskakunin_koutei01_INTER_ISSUE_DATE">DATA!$F$1306</definedName>
    <definedName name="cst_wskakunin_koutei01_INTER_ISSUE_NAME">DATA!$F$1304</definedName>
    <definedName name="cst_wskakunin_koutei01_INTER_ISSUE_NO">DATA!$F$1305</definedName>
    <definedName name="cst_wskakunin_koutei01_KOUTEI_DATE">DATA!$F$1152</definedName>
    <definedName name="cst_wskakunin_koutei01_KOUTEI_KAISUU">DATA!$F$1151</definedName>
    <definedName name="cst_wskakunin_koutei01_KOUTEI_TEXT">DATA!$F$1153</definedName>
    <definedName name="cst_wskakunin_koutei02_INTER_ISSUE_DATE">DATA!$F$1320</definedName>
    <definedName name="cst_wskakunin_koutei02_INTER_ISSUE_NAME">DATA!$F$1318</definedName>
    <definedName name="cst_wskakunin_koutei02_INTER_ISSUE_NO">DATA!$F$1319</definedName>
    <definedName name="cst_wskakunin_koutei02_KOUTEI_DATE">DATA!$F$1157</definedName>
    <definedName name="cst_wskakunin_koutei02_KOUTEI_KAISUU">DATA!$F$1156</definedName>
    <definedName name="cst_wskakunin_koutei02_KOUTEI_TEXT">DATA!$F$1158</definedName>
    <definedName name="cst_wskakunin_koutei03_KOUTEI_DATE">DATA!$F$1162</definedName>
    <definedName name="cst_wskakunin_koutei03_KOUTEI_KAISUU">DATA!$F$1161</definedName>
    <definedName name="cst_wskakunin_koutei03_KOUTEI_TEXT">DATA!$F$1163</definedName>
    <definedName name="cst_wskakunin_koutei04_KOUTEI_DATE">DATA!$F$1167</definedName>
    <definedName name="cst_wskakunin_koutei04_KOUTEI_KAISUU">DATA!$F$1166</definedName>
    <definedName name="cst_wskakunin_koutei04_KOUTEI_TEXT">DATA!$F$1168</definedName>
    <definedName name="cst_wskakunin_KOUZOU">DATA!$F$1103</definedName>
    <definedName name="cst_wskakunin_KOUZOU_mokuzou">DATA!$F$1101</definedName>
    <definedName name="cst_wskakunin_KOUZOU_zairai">DATA!$F$1102</definedName>
    <definedName name="cst_wskakunin_KOUZOU1">DATA!$F$1099</definedName>
    <definedName name="cst_wskakunin_KOUZOU2">DATA!$F$1100</definedName>
    <definedName name="cst_wskakunin_KUIKI_HISETTEI">DATA!$F$907</definedName>
    <definedName name="cst_wskakunin_KUIKI_JYUN_TOSHI">DATA!$F$908</definedName>
    <definedName name="cst_wskakunin_KUIKI_KUIKIGAI">DATA!$F$909</definedName>
    <definedName name="cst_wskakunin_KUIKI_SIGAIKA">DATA!$F$904</definedName>
    <definedName name="cst_wskakunin_KUIKI_TOSI">DATA!$F$901</definedName>
    <definedName name="cst_wskakunin_KUIKI_TYOSEI">DATA!$F$906</definedName>
    <definedName name="cst_wskakunin_kyoka_HOUREI_all">DATA!$F$1139</definedName>
    <definedName name="cst_wskakunin_kyoka01_BIKOU">DATA!$F$1120</definedName>
    <definedName name="cst_wskakunin_kyoka01_HOUREI">DATA!$F$1116</definedName>
    <definedName name="cst_wskakunin_kyoka01_JOUKOU">DATA!$F$1117</definedName>
    <definedName name="cst_wskakunin_kyoka01_KYOKA_DATE">DATA!$F$1119</definedName>
    <definedName name="cst_wskakunin_kyoka01_KYOKA_NO">DATA!$F$1118</definedName>
    <definedName name="cst_wskakunin_kyoka02_BIKOU">DATA!$F$1128</definedName>
    <definedName name="cst_wskakunin_kyoka02_HOUREI">DATA!$F$1124</definedName>
    <definedName name="cst_wskakunin_kyoka02_JOUKOU">DATA!$F$1125</definedName>
    <definedName name="cst_wskakunin_kyoka02_KYOKA_DATE">DATA!$F$1127</definedName>
    <definedName name="cst_wskakunin_kyoka02_KYOKA_NO">DATA!$F$1126</definedName>
    <definedName name="cst_wskakunin_kyoka03_BIKOU">DATA!$F$1136</definedName>
    <definedName name="cst_wskakunin_kyoka03_HOUREI">DATA!$F$1132</definedName>
    <definedName name="cst_wskakunin_kyoka03_JOUKOU">DATA!$F$1133</definedName>
    <definedName name="cst_wskakunin_kyoka03_KYOKA_DATE">DATA!$F$1135</definedName>
    <definedName name="cst_wskakunin_kyoka03_KYOKA_NO">DATA!$F$1134</definedName>
    <definedName name="cst_wskakunin_LAST_ISSUE_DATE">DATA!$F$56</definedName>
    <definedName name="cst_wskakunin_LAST_ISSUE_NAME">DATA!$F$57</definedName>
    <definedName name="cst_wskakunin_LAST_ISSUE_NO">DATA!$F$55</definedName>
    <definedName name="cst_wskakunin_LIMIT_KENPEI_RITU">DATA!$F$952</definedName>
    <definedName name="cst_wskakunin_LIMIT_YOUSEKI_RITU">DATA!$F$951</definedName>
    <definedName name="cst_wskakunin_NOBE_MENSEKI">DATA!$F$1079</definedName>
    <definedName name="cst_wskakunin_NOBE_MENSEKI_BITIKUSOUKO_IGAI">DATA!$F$1040</definedName>
    <definedName name="cst_wskakunin_NOBE_MENSEKI_BITIKUSOUKO_SHINSEI">DATA!$F$1039</definedName>
    <definedName name="cst_wskakunin_NOBE_MENSEKI_BITIKUSOUKO_TOTAL">DATA!$F$1041</definedName>
    <definedName name="cst_wskakunin_NOBE_MENSEKI_BUILD_IGAI">DATA!$F$1010</definedName>
    <definedName name="cst_wskakunin_NOBE_MENSEKI_BUILD_SHINSEI">DATA!$F$1009</definedName>
    <definedName name="cst_wskakunin_NOBE_MENSEKI_BUILD_TOTAL">DATA!$F$1011</definedName>
    <definedName name="cst_wskakunin_NOBE_MENSEKI_CHOSUISOU_IGAI">DATA!$F$1055</definedName>
    <definedName name="cst_wskakunin_NOBE_MENSEKI_CHOSUISOU_SHINSEI">DATA!$F$1054</definedName>
    <definedName name="cst_wskakunin_NOBE_MENSEKI_CHOSUISOU_TOTAL">DATA!$F$1056</definedName>
    <definedName name="cst_wskakunin_NOBE_MENSEKI_FUSANNYU_IGAI">DATA!$F$1065</definedName>
    <definedName name="cst_wskakunin_NOBE_MENSEKI_FUSANNYU_SHINSEI">DATA!$F$1064</definedName>
    <definedName name="cst_wskakunin_NOBE_MENSEKI_FUSANNYU_TOTAL">DATA!$F$1066</definedName>
    <definedName name="cst_wskakunin_NOBE_MENSEKI_JIKAHATUDEN_IGAI">DATA!$F$1050</definedName>
    <definedName name="cst_wskakunin_NOBE_MENSEKI_JIKAHATUDEN_SHINSEI">DATA!$F$1049</definedName>
    <definedName name="cst_wskakunin_NOBE_MENSEKI_JIKAHATUDEN_TOTAL">DATA!$F$1051</definedName>
    <definedName name="cst_wskakunin_NOBE_MENSEKI_JYUTAKU_IGAI">DATA!$F$1070</definedName>
    <definedName name="cst_wskakunin_NOBE_MENSEKI_JYUTAKU_SHINSEI">DATA!$F$1069</definedName>
    <definedName name="cst_wskakunin_NOBE_MENSEKI_JYUTAKU_TOTAL">DATA!$F$1071</definedName>
    <definedName name="cst_wskakunin_NOBE_MENSEKI_KIKAI_IGAI">DATA!$F$1030</definedName>
    <definedName name="cst_wskakunin_NOBE_MENSEKI_KIKAI_SHINSEI">DATA!$F$1029</definedName>
    <definedName name="cst_wskakunin_NOBE_MENSEKI_KIKAI_TOTAL">DATA!$F$1031</definedName>
    <definedName name="cst_wskakunin_NOBE_MENSEKI_KYOYOU_IGAI">DATA!$F$1025</definedName>
    <definedName name="cst_wskakunin_NOBE_MENSEKI_KYOYOU_SHINSEI">DATA!$F$1024</definedName>
    <definedName name="cst_wskakunin_NOBE_MENSEKI_KYOYOU_TOTAL">DATA!$F$1026</definedName>
    <definedName name="cst_wskakunin_NOBE_MENSEKI_ROUJIN_IGAI">DATA!$F$1075</definedName>
    <definedName name="cst_wskakunin_NOBE_MENSEKI_ROUJIN_SHINSEI">DATA!$F$1074</definedName>
    <definedName name="cst_wskakunin_NOBE_MENSEKI_ROUJIN_TOTAL">DATA!$F$1076</definedName>
    <definedName name="cst_wskakunin_NOBE_MENSEKI_SYAKO_IGAI">DATA!$F$1035</definedName>
    <definedName name="cst_wskakunin_NOBE_MENSEKI_SYAKO_SHINSEI">DATA!$F$1034</definedName>
    <definedName name="cst_wskakunin_NOBE_MENSEKI_SYAKO_TOTAL">DATA!$F$1036</definedName>
    <definedName name="cst_wskakunin_NOBE_MENSEKI_SYOUKOURO_IGAI">DATA!$F$1020</definedName>
    <definedName name="cst_wskakunin_NOBE_MENSEKI_SYOUKOURO_SHINSEI">DATA!$F$1019</definedName>
    <definedName name="cst_wskakunin_NOBE_MENSEKI_SYOUKOURO_TOTAL">DATA!$F$1021</definedName>
    <definedName name="cst_wskakunin_NOBE_MENSEKI_TAKUHAI_IGAI">DATA!$F$1060</definedName>
    <definedName name="cst_wskakunin_NOBE_MENSEKI_TAKUHAI_SHINSEI">DATA!$F$1059</definedName>
    <definedName name="cst_wskakunin_NOBE_MENSEKI_TAKUHAI_TOTAL">DATA!$F$1061</definedName>
    <definedName name="cst_wskakunin_NOBE_MENSEKI_TIKAI_IGAI">DATA!$F$1015</definedName>
    <definedName name="cst_wskakunin_NOBE_MENSEKI_TIKAI_SHINSEI">DATA!$F$1014</definedName>
    <definedName name="cst_wskakunin_NOBE_MENSEKI_TIKAI_TOTAL">DATA!$F$1016</definedName>
    <definedName name="cst_wskakunin_NOBE_MENSEKI_TIKUDENTI_IGAI">DATA!$F$1045</definedName>
    <definedName name="cst_wskakunin_NOBE_MENSEKI_TIKUDENTI_SHINSEI">DATA!$F$1044</definedName>
    <definedName name="cst_wskakunin_NOBE_MENSEKI_TIKUDENTI_TOTAL">DATA!$F$1046</definedName>
    <definedName name="cst_wskakunin_owner1__address">DATA!$F$81</definedName>
    <definedName name="cst_wskakunin_owner1__space">DATA!$F$83</definedName>
    <definedName name="cst_wskakunin_owner1__space_KANA">DATA!$F$77</definedName>
    <definedName name="cst_wskakunin_owner1__space_KANA2">DATA!$F$78</definedName>
    <definedName name="cst_wskakunin_owner1__space2">DATA!$F$84</definedName>
    <definedName name="cst_wskakunin_owner1__space3">DATA!$F$85</definedName>
    <definedName name="cst_wskakunin_owner1__space4">DATA!$F$86</definedName>
    <definedName name="cst_wskakunin_owner1_JIMU_NAME">DATA!$F$71</definedName>
    <definedName name="cst_wskakunin_owner1_JIMU_NAME_KANA">DATA!$F$72</definedName>
    <definedName name="cst_wskakunin_owner1_NAME">DATA!$F$75</definedName>
    <definedName name="cst_wskakunin_owner1_NAME_KANA">DATA!$F$76</definedName>
    <definedName name="cst_wskakunin_owner1_POST">DATA!$F$73</definedName>
    <definedName name="cst_wskakunin_owner1_POST_KANA">DATA!$F$74</definedName>
    <definedName name="cst_wskakunin_owner1_TEL">DATA!$F$82</definedName>
    <definedName name="cst_wskakunin_owner1_ZIP">DATA!$F$79</definedName>
    <definedName name="cst_wskakunin_owner1_ZIP2">DATA!$F$80</definedName>
    <definedName name="cst_wskakunin_owner2__address">DATA!$F$96</definedName>
    <definedName name="cst_wskakunin_owner2__space">DATA!$F$98</definedName>
    <definedName name="cst_wskakunin_owner2__space2">DATA!$F$99</definedName>
    <definedName name="cst_wskakunin_owner2__space3">DATA!$F$100</definedName>
    <definedName name="cst_wskakunin_owner2_JIMU_NAME">DATA!$F$89</definedName>
    <definedName name="cst_wskakunin_owner2_JIMU_NAME_KANA">DATA!$F$90</definedName>
    <definedName name="cst_wskakunin_owner2_NAME">DATA!$F$93</definedName>
    <definedName name="cst_wskakunin_owner2_NAME_KANA">DATA!$F$94</definedName>
    <definedName name="cst_wskakunin_owner2_POST">DATA!$F$91</definedName>
    <definedName name="cst_wskakunin_owner2_POST_KANA">DATA!$F$92</definedName>
    <definedName name="cst_wskakunin_owner2_TEL">DATA!$F$97</definedName>
    <definedName name="cst_wskakunin_owner2_ZIP">DATA!$F$95</definedName>
    <definedName name="cst_wskakunin_owner3__address">DATA!$F$110</definedName>
    <definedName name="cst_wskakunin_owner3__space">DATA!$F$112</definedName>
    <definedName name="cst_wskakunin_owner3_JIMU_NAME">DATA!$F$103</definedName>
    <definedName name="cst_wskakunin_owner3_JIMU_NAME_KANA">DATA!$F$104</definedName>
    <definedName name="cst_wskakunin_owner3_NAME">DATA!$F$107</definedName>
    <definedName name="cst_wskakunin_owner3_NAME_KANA">DATA!$F$108</definedName>
    <definedName name="cst_wskakunin_owner3_POST">DATA!$F$105</definedName>
    <definedName name="cst_wskakunin_owner3_POST_KANA">DATA!$F$106</definedName>
    <definedName name="cst_wskakunin_owner3_TEL">DATA!$F$111</definedName>
    <definedName name="cst_wskakunin_owner3_ZIP">DATA!$F$109</definedName>
    <definedName name="cst_wskakunin_owner4__address">DATA!$F$122</definedName>
    <definedName name="cst_wskakunin_owner4__space">DATA!$F$124</definedName>
    <definedName name="cst_wskakunin_owner4_JIMU_NAME">DATA!$F$115</definedName>
    <definedName name="cst_wskakunin_owner4_JIMU_NAME_KANA">DATA!$F$116</definedName>
    <definedName name="cst_wskakunin_owner4_NAME">DATA!$F$119</definedName>
    <definedName name="cst_wskakunin_owner4_NAME_KANA">DATA!$F$120</definedName>
    <definedName name="cst_wskakunin_owner4_POST">DATA!$F$117</definedName>
    <definedName name="cst_wskakunin_owner4_POST_KANA">DATA!$F$118</definedName>
    <definedName name="cst_wskakunin_owner4_TEL">DATA!$F$123</definedName>
    <definedName name="cst_wskakunin_owner4_ZIP">DATA!$F$121</definedName>
    <definedName name="cst_wskakunin_owner5__address">DATA!$F$134</definedName>
    <definedName name="cst_wskakunin_owner5__space">DATA!$F$136</definedName>
    <definedName name="cst_wskakunin_owner5_JIMU_NAME">DATA!$F$127</definedName>
    <definedName name="cst_wskakunin_owner5_JIMU_NAME_KANA">DATA!$F$128</definedName>
    <definedName name="cst_wskakunin_owner5_NAME">DATA!$F$131</definedName>
    <definedName name="cst_wskakunin_owner5_NAME_KANA">DATA!$F$132</definedName>
    <definedName name="cst_wskakunin_owner5_POST">DATA!$F$129</definedName>
    <definedName name="cst_wskakunin_owner5_POST_KANA">DATA!$F$130</definedName>
    <definedName name="cst_wskakunin_owner5_TEL">DATA!$F$135</definedName>
    <definedName name="cst_wskakunin_owner5_ZIP">DATA!$F$133</definedName>
    <definedName name="cst_wskakunin_owner6__address">DATA!$F$146</definedName>
    <definedName name="cst_wskakunin_owner6__space2">DATA!$F$157</definedName>
    <definedName name="cst_wskakunin_owner6__space3">DATA!$F$148</definedName>
    <definedName name="cst_wskakunin_owner6_JIMU_NAME">DATA!$F$139</definedName>
    <definedName name="cst_wskakunin_owner6_JIMU_NAME_KANA">DATA!$F$140</definedName>
    <definedName name="cst_wskakunin_owner6_NAME">DATA!$F$143</definedName>
    <definedName name="cst_wskakunin_owner6_NAME_KANA">DATA!$F$144</definedName>
    <definedName name="cst_wskakunin_owner6_POST">DATA!$F$141</definedName>
    <definedName name="cst_wskakunin_owner6_POST_KANA">DATA!$F$142</definedName>
    <definedName name="cst_wskakunin_owner6_TEL">DATA!$F$147</definedName>
    <definedName name="cst_wskakunin_owner6_ZIP">DATA!$F$145</definedName>
    <definedName name="cst_wskakunin_owner7__address">DATA!$F$158</definedName>
    <definedName name="cst_wskakunin_owner7_JIMU_NAME">DATA!$F$151</definedName>
    <definedName name="cst_wskakunin_owner7_JIMU_NAME_KANA">DATA!$F$152</definedName>
    <definedName name="cst_wskakunin_owner7_NAME">DATA!$F$155</definedName>
    <definedName name="cst_wskakunin_owner7_NAME_KANA">DATA!$F$156</definedName>
    <definedName name="cst_wskakunin_owner7_POST">DATA!$F$153</definedName>
    <definedName name="cst_wskakunin_owner7_POST_KANA">DATA!$F$154</definedName>
    <definedName name="cst_wskakunin_owner7_TEL">DATA!$F$159</definedName>
    <definedName name="cst_wskakunin_owner7_ZIP">DATA!$F$157</definedName>
    <definedName name="cst_wskakunin_owner8__address">DATA!$F$169</definedName>
    <definedName name="cst_wskakunin_owner8_JIMU_NAME">DATA!$F$162</definedName>
    <definedName name="cst_wskakunin_owner8_JIMU_NAME_KANA">DATA!$F$163</definedName>
    <definedName name="cst_wskakunin_owner8_NAME">DATA!$F$166</definedName>
    <definedName name="cst_wskakunin_owner8_NAME_KANA">DATA!$F$167</definedName>
    <definedName name="cst_wskakunin_owner8_POST">DATA!$F$164</definedName>
    <definedName name="cst_wskakunin_owner8_POST_KANA">DATA!$F$165</definedName>
    <definedName name="cst_wskakunin_owner8_TEL">DATA!$F$170</definedName>
    <definedName name="cst_wskakunin_owner8_ZIP">DATA!$F$168</definedName>
    <definedName name="cst_wskakunin_owner9__address">DATA!$F$180</definedName>
    <definedName name="cst_wskakunin_owner9_JIMU_NAME">DATA!$F$173</definedName>
    <definedName name="cst_wskakunin_owner9_JIMU_NAME_KANA">DATA!$F$174</definedName>
    <definedName name="cst_wskakunin_owner9_NAME">DATA!$F$177</definedName>
    <definedName name="cst_wskakunin_owner9_NAME_KANA">DATA!$F$178</definedName>
    <definedName name="cst_wskakunin_owner9_POST">DATA!$F$175</definedName>
    <definedName name="cst_wskakunin_owner9_POST_KANA">DATA!$F$176</definedName>
    <definedName name="cst_wskakunin_owner9_TEL">DATA!$F$181</definedName>
    <definedName name="cst_wskakunin_owner9_ZIP">DATA!$F$179</definedName>
    <definedName name="cst_wskakunin_P1_HENKOU_GAIYOU">DATA!$F$58</definedName>
    <definedName name="cst_wskakunin_P2_BIKOU">DATA!$F$830</definedName>
    <definedName name="cst_wskakunin_P3_BIKOU">DATA!$F$1179</definedName>
    <definedName name="cst_wskakunin_P3_SONOTA">DATA!$F$1177</definedName>
    <definedName name="cst_wskakunin_p4_1__kouji">DATA!$F$871</definedName>
    <definedName name="cst_wskakunin_p4_1_KAISU_TIKAI">DATA!$F$873</definedName>
    <definedName name="cst_wskakunin_p4_1_KAISU_TIKAI_NOZOKU">DATA!$F$872</definedName>
    <definedName name="cst_wskakunin_p4_1_KOUZOU1">DATA!$F$874</definedName>
    <definedName name="cst_wskakunin_p4_1_KOUZOU2">DATA!$F$875</definedName>
    <definedName name="cst_wskakunin_p4_1_TAKASA_KEN_MAX">DATA!$F$877</definedName>
    <definedName name="cst_wskakunin_p4_1_TAKASA_MAX">DATA!$F$876</definedName>
    <definedName name="cst_wskakunin_p4_1_youto1_YOUTO">DATA!$F$862</definedName>
    <definedName name="cst_wskakunin_p4_1_youto1_YOUTO_1">DATA!$F$864</definedName>
    <definedName name="cst_wskakunin_p4_1_youto1_YOUTO_2">DATA!$F$865</definedName>
    <definedName name="cst_wskakunin_p4_1_youto1_YOUTO_3">DATA!$F$866</definedName>
    <definedName name="cst_wskakunin_p4_1_youto1_YOUTO_4">DATA!$F$867</definedName>
    <definedName name="cst_wskakunin_p4_1_youto1_YOUTO_5">DATA!$F$868</definedName>
    <definedName name="cst_wskakunin_p4_1_youto1_YOUTO_6">DATA!$F$869</definedName>
    <definedName name="cst_wskakunin_p4_1_youto1_YOUTO_9">DATA!$F$870</definedName>
    <definedName name="cst_wskakunin_p4_1_youto1_YOUTO_CODE">DATA!$F$863</definedName>
    <definedName name="cst_wskakunin_p4_1_YUKA_MENSEKI_SHINSEI">DATA!$F$878</definedName>
    <definedName name="cst_wskakunin_p4_2_KAISU_TIKAI">DATA!$F$881</definedName>
    <definedName name="cst_wskakunin_p4_2_KAISU_TIKAI_NOZOKU">DATA!$F$880</definedName>
    <definedName name="cst_wskakunin_p4_2_YUKA_MENSEKI_SHINSEI">DATA!$F$882</definedName>
    <definedName name="cst_wskakunin_p4_3_KAISU_TIKAI">DATA!$F$885</definedName>
    <definedName name="cst_wskakunin_p4_3_KAISU_TIKAI_NOZOKU">DATA!$F$884</definedName>
    <definedName name="cst_wskakunin_p4_3_YUKA_MENSEKI_SHINSEI">DATA!$F$886</definedName>
    <definedName name="cst_wskakunin_PAGE1_ALTERATION_NOTE">DATA!$F$65</definedName>
    <definedName name="cst_wskakunin_sekkei1__address">DATA!$F$286</definedName>
    <definedName name="cst_wskakunin_sekkei1__sikaku">DATA!$F$274</definedName>
    <definedName name="cst_wskakunin_sekkei1_DOC">DATA!$F$288</definedName>
    <definedName name="cst_wskakunin_sekkei1_JIMU__sikaku">DATA!$F$279</definedName>
    <definedName name="cst_wskakunin_sekkei1_JIMU_NAME">DATA!$F$283</definedName>
    <definedName name="cst_wskakunin_sekkei1_JIMU_NO">DATA!$F$282</definedName>
    <definedName name="cst_wskakunin_sekkei1_JIMU_SIKAKU">DATA!$F$280</definedName>
    <definedName name="cst_wskakunin_sekkei1_JIMU_TOUROKU_KIKAN">DATA!$F$281</definedName>
    <definedName name="cst_wskakunin_sekkei1_jimuname_name">DATA!$F$284</definedName>
    <definedName name="cst_wskakunin_sekkei1_KENTIKUSI_NO">DATA!$F$277</definedName>
    <definedName name="cst_wskakunin_sekkei1_NAME">DATA!$F$278</definedName>
    <definedName name="cst_wskakunin_sekkei1_SIKAKU">DATA!$F$275</definedName>
    <definedName name="cst_wskakunin_sekkei1_TEL">DATA!$F$287</definedName>
    <definedName name="cst_wskakunin_sekkei1_TOUROKU_KIKAN">DATA!$F$276</definedName>
    <definedName name="cst_wskakunin_sekkei1_ZIP">DATA!$F$285</definedName>
    <definedName name="cst_wskakunin_sekkei10__address">DATA!$F$439</definedName>
    <definedName name="cst_wskakunin_sekkei10__sikaku">DATA!$F$427</definedName>
    <definedName name="cst_wskakunin_sekkei10_DOC">DATA!$F$441</definedName>
    <definedName name="cst_wskakunin_sekkei10_JIMU__sikaku">DATA!$F$432</definedName>
    <definedName name="cst_wskakunin_sekkei10_JIMU_NAME">DATA!$F$436</definedName>
    <definedName name="cst_wskakunin_sekkei10_JIMU_NO">DATA!$F$435</definedName>
    <definedName name="cst_wskakunin_sekkei10_JIMU_SIKAKU">DATA!$F$433</definedName>
    <definedName name="cst_wskakunin_sekkei10_JIMU_TOUROKU_KIKAN">DATA!$F$434</definedName>
    <definedName name="cst_wskakunin_sekkei10_jimuname_name">DATA!$F$437</definedName>
    <definedName name="cst_wskakunin_sekkei10_KENTIKUSI_NO">DATA!$F$430</definedName>
    <definedName name="cst_wskakunin_sekkei10_NAME">DATA!$F$431</definedName>
    <definedName name="cst_wskakunin_sekkei10_SIKAKU">DATA!$F$428</definedName>
    <definedName name="cst_wskakunin_sekkei10_TEL">DATA!$F$440</definedName>
    <definedName name="cst_wskakunin_sekkei10_TOUROKU_KIKAN">DATA!$F$429</definedName>
    <definedName name="cst_wskakunin_sekkei10_ZIP">DATA!$F$438</definedName>
    <definedName name="cst_wskakunin_sekkei11__address">DATA!$F$456</definedName>
    <definedName name="cst_wskakunin_sekkei11__sikaku">DATA!$F$444</definedName>
    <definedName name="cst_wskakunin_sekkei11_DOC">DATA!$F$458</definedName>
    <definedName name="cst_wskakunin_sekkei11_JIMU__sikaku">DATA!$F$449</definedName>
    <definedName name="cst_wskakunin_sekkei11_JIMU_NAME">DATA!$F$453</definedName>
    <definedName name="cst_wskakunin_sekkei11_JIMU_NO">DATA!$F$452</definedName>
    <definedName name="cst_wskakunin_sekkei11_JIMU_SIKAKU">DATA!$F$450</definedName>
    <definedName name="cst_wskakunin_sekkei11_JIMU_TOUROKU_KIKAN">DATA!$F$451</definedName>
    <definedName name="cst_wskakunin_sekkei11_jimuname_name">DATA!$F$454</definedName>
    <definedName name="cst_wskakunin_sekkei11_KENTIKUSI_NO">DATA!$F$447</definedName>
    <definedName name="cst_wskakunin_sekkei11_NAME">DATA!$F$448</definedName>
    <definedName name="cst_wskakunin_sekkei11_SIKAKU">DATA!$F$445</definedName>
    <definedName name="cst_wskakunin_sekkei11_TEL">DATA!$F$457</definedName>
    <definedName name="cst_wskakunin_sekkei11_TOUROKU_KIKAN">DATA!$F$446</definedName>
    <definedName name="cst_wskakunin_sekkei11_ZIP">DATA!$F$455</definedName>
    <definedName name="cst_wskakunin_sekkei12__address">DATA!$F$473</definedName>
    <definedName name="cst_wskakunin_sekkei12__sikaku">DATA!$F$461</definedName>
    <definedName name="cst_wskakunin_sekkei12_DOC">DATA!$F$475</definedName>
    <definedName name="cst_wskakunin_sekkei12_JIMU__sikaku">DATA!$F$466</definedName>
    <definedName name="cst_wskakunin_sekkei12_JIMU_NAME">DATA!$F$470</definedName>
    <definedName name="cst_wskakunin_sekkei12_JIMU_NO">DATA!$F$469</definedName>
    <definedName name="cst_wskakunin_sekkei12_JIMU_SIKAKU">DATA!$F$467</definedName>
    <definedName name="cst_wskakunin_sekkei12_JIMU_TOUROKU_KIKAN">DATA!$F$468</definedName>
    <definedName name="cst_wskakunin_sekkei12_jimuname_name">DATA!$F$471</definedName>
    <definedName name="cst_wskakunin_sekkei12_KENTIKUSI_NO">DATA!$F$464</definedName>
    <definedName name="cst_wskakunin_sekkei12_NAME">DATA!$F$465</definedName>
    <definedName name="cst_wskakunin_sekkei12_SIKAKU">DATA!$F$462</definedName>
    <definedName name="cst_wskakunin_sekkei12_TEL">DATA!$F$474</definedName>
    <definedName name="cst_wskakunin_sekkei12_TOUROKU_KIKAN">DATA!$F$463</definedName>
    <definedName name="cst_wskakunin_sekkei12_ZIP">DATA!$F$472</definedName>
    <definedName name="cst_wskakunin_sekkei2__address">DATA!$F$303</definedName>
    <definedName name="cst_wskakunin_sekkei2__sikaku">DATA!$F$291</definedName>
    <definedName name="cst_wskakunin_sekkei2_DOC">DATA!$F$305</definedName>
    <definedName name="cst_wskakunin_sekkei2_JIMU__sikaku">DATA!$F$296</definedName>
    <definedName name="cst_wskakunin_sekkei2_JIMU_NAME">DATA!$F$300</definedName>
    <definedName name="cst_wskakunin_sekkei2_JIMU_NO">DATA!$F$299</definedName>
    <definedName name="cst_wskakunin_sekkei2_JIMU_SIKAKU">DATA!$F$297</definedName>
    <definedName name="cst_wskakunin_sekkei2_JIMU_TOUROKU_KIKAN">DATA!$F$298</definedName>
    <definedName name="cst_wskakunin_sekkei2_jimuname_name">DATA!$F$301</definedName>
    <definedName name="cst_wskakunin_sekkei2_KENTIKUSI_NO">DATA!$F$294</definedName>
    <definedName name="cst_wskakunin_sekkei2_NAME">DATA!$F$295</definedName>
    <definedName name="cst_wskakunin_sekkei2_SIKAKU">DATA!$F$292</definedName>
    <definedName name="cst_wskakunin_sekkei2_TEL">DATA!$F$304</definedName>
    <definedName name="cst_wskakunin_sekkei2_TOUROKU_KIKAN">DATA!$F$293</definedName>
    <definedName name="cst_wskakunin_sekkei2_ZIP">DATA!$F$302</definedName>
    <definedName name="cst_wskakunin_sekkei3__address">DATA!$F$320</definedName>
    <definedName name="cst_wskakunin_sekkei3__sikaku">DATA!$F$308</definedName>
    <definedName name="cst_wskakunin_sekkei3_DOC">DATA!$F$322</definedName>
    <definedName name="cst_wskakunin_sekkei3_JIMU__sikaku">DATA!$F$313</definedName>
    <definedName name="cst_wskakunin_sekkei3_JIMU_NAME">DATA!$F$317</definedName>
    <definedName name="cst_wskakunin_sekkei3_JIMU_NO">DATA!$F$316</definedName>
    <definedName name="cst_wskakunin_sekkei3_JIMU_SIKAKU">DATA!$F$314</definedName>
    <definedName name="cst_wskakunin_sekkei3_JIMU_TOUROKU_KIKAN">DATA!$F$315</definedName>
    <definedName name="cst_wskakunin_sekkei3_jimuname_name">DATA!$F$318</definedName>
    <definedName name="cst_wskakunin_sekkei3_KENTIKUSI_NO">DATA!$F$311</definedName>
    <definedName name="cst_wskakunin_sekkei3_NAME">DATA!$F$312</definedName>
    <definedName name="cst_wskakunin_sekkei3_SIKAKU">DATA!$F$309</definedName>
    <definedName name="cst_wskakunin_sekkei3_TEL">DATA!$F$321</definedName>
    <definedName name="cst_wskakunin_sekkei3_TOUROKU_KIKAN">DATA!$F$310</definedName>
    <definedName name="cst_wskakunin_sekkei3_ZIP">DATA!$F$319</definedName>
    <definedName name="cst_wskakunin_sekkei4__address">DATA!$F$337</definedName>
    <definedName name="cst_wskakunin_sekkei4__sikaku">DATA!$F$325</definedName>
    <definedName name="cst_wskakunin_sekkei4_DOC">DATA!$F$339</definedName>
    <definedName name="cst_wskakunin_sekkei4_JIMU__sikaku">DATA!$F$330</definedName>
    <definedName name="cst_wskakunin_sekkei4_JIMU_NAME">DATA!$F$334</definedName>
    <definedName name="cst_wskakunin_sekkei4_JIMU_NO">DATA!$F$333</definedName>
    <definedName name="cst_wskakunin_sekkei4_JIMU_SIKAKU">DATA!$F$331</definedName>
    <definedName name="cst_wskakunin_sekkei4_JIMU_TOUROKU_KIKAN">DATA!$F$332</definedName>
    <definedName name="cst_wskakunin_sekkei4_jimuname_name">DATA!$F$335</definedName>
    <definedName name="cst_wskakunin_sekkei4_KENTIKUSI_NO">DATA!$F$328</definedName>
    <definedName name="cst_wskakunin_sekkei4_NAME">DATA!$F$329</definedName>
    <definedName name="cst_wskakunin_sekkei4_SIKAKU">DATA!$F$326</definedName>
    <definedName name="cst_wskakunin_sekkei4_TEL">DATA!$F$338</definedName>
    <definedName name="cst_wskakunin_sekkei4_TOUROKU_KIKAN">DATA!$F$327</definedName>
    <definedName name="cst_wskakunin_sekkei4_ZIP">DATA!$F$336</definedName>
    <definedName name="cst_wskakunin_sekkei5__address">DATA!$F$354</definedName>
    <definedName name="cst_wskakunin_sekkei5__sikaku">DATA!$F$342</definedName>
    <definedName name="cst_wskakunin_sekkei5_DOC">DATA!$F$356</definedName>
    <definedName name="cst_wskakunin_sekkei5_JIMU__sikaku">DATA!$F$347</definedName>
    <definedName name="cst_wskakunin_sekkei5_JIMU_NAME">DATA!$F$351</definedName>
    <definedName name="cst_wskakunin_sekkei5_JIMU_NO">DATA!$F$350</definedName>
    <definedName name="cst_wskakunin_sekkei5_JIMU_SIKAKU">DATA!$F$348</definedName>
    <definedName name="cst_wskakunin_sekkei5_JIMU_TOUROKU_KIKAN">DATA!$F$349</definedName>
    <definedName name="cst_wskakunin_sekkei5_jimuname_name">DATA!$F$352</definedName>
    <definedName name="cst_wskakunin_sekkei5_KENTIKUSI_NO">DATA!$F$345</definedName>
    <definedName name="cst_wskakunin_sekkei5_NAME">DATA!$F$346</definedName>
    <definedName name="cst_wskakunin_sekkei5_SIKAKU">DATA!$F$343</definedName>
    <definedName name="cst_wskakunin_sekkei5_TEL">DATA!$F$355</definedName>
    <definedName name="cst_wskakunin_sekkei5_TOUROKU_KIKAN">DATA!$F$344</definedName>
    <definedName name="cst_wskakunin_sekkei5_ZIP">DATA!$F$353</definedName>
    <definedName name="cst_wskakunin_sekkei6__address">DATA!$F$371</definedName>
    <definedName name="cst_wskakunin_sekkei6__sikaku">DATA!$F$359</definedName>
    <definedName name="cst_wskakunin_sekkei6_DOC">DATA!$F$373</definedName>
    <definedName name="cst_wskakunin_sekkei6_JIMU__sikaku">DATA!$F$364</definedName>
    <definedName name="cst_wskakunin_sekkei6_JIMU_NAME">DATA!$F$368</definedName>
    <definedName name="cst_wskakunin_sekkei6_JIMU_NO">DATA!$F$367</definedName>
    <definedName name="cst_wskakunin_sekkei6_JIMU_SIKAKU">DATA!$F$365</definedName>
    <definedName name="cst_wskakunin_sekkei6_JIMU_TOUROKU_KIKAN">DATA!$F$366</definedName>
    <definedName name="cst_wskakunin_sekkei6_jimuname_name">DATA!$F$369</definedName>
    <definedName name="cst_wskakunin_sekkei6_KENTIKUSI_NO">DATA!$F$362</definedName>
    <definedName name="cst_wskakunin_sekkei6_NAME">DATA!$F$363</definedName>
    <definedName name="cst_wskakunin_sekkei6_SIKAKU">DATA!$F$360</definedName>
    <definedName name="cst_wskakunin_sekkei6_TEL">DATA!$F$372</definedName>
    <definedName name="cst_wskakunin_sekkei6_TOUROKU_KIKAN">DATA!$F$361</definedName>
    <definedName name="cst_wskakunin_sekkei6_ZIP">DATA!$F$370</definedName>
    <definedName name="cst_wskakunin_sekkei7__address">DATA!$F$388</definedName>
    <definedName name="cst_wskakunin_sekkei7__sikaku">DATA!$F$376</definedName>
    <definedName name="cst_wskakunin_sekkei7_DOC">DATA!$F$390</definedName>
    <definedName name="cst_wskakunin_sekkei7_JIMU__sikaku">DATA!$F$381</definedName>
    <definedName name="cst_wskakunin_sekkei7_JIMU_NAME">DATA!$F$385</definedName>
    <definedName name="cst_wskakunin_sekkei7_JIMU_NO">DATA!$F$384</definedName>
    <definedName name="cst_wskakunin_sekkei7_JIMU_SIKAKU">DATA!$F$382</definedName>
    <definedName name="cst_wskakunin_sekkei7_JIMU_TOUROKU_KIKAN">DATA!$F$383</definedName>
    <definedName name="cst_wskakunin_sekkei7_jimuname_name">DATA!$F$386</definedName>
    <definedName name="cst_wskakunin_sekkei7_KENTIKUSI_NO">DATA!$F$379</definedName>
    <definedName name="cst_wskakunin_sekkei7_NAME">DATA!$F$380</definedName>
    <definedName name="cst_wskakunin_sekkei7_SIKAKU">DATA!$F$377</definedName>
    <definedName name="cst_wskakunin_sekkei7_TEL">DATA!$F$389</definedName>
    <definedName name="cst_wskakunin_sekkei7_TOUROKU_KIKAN">DATA!$F$378</definedName>
    <definedName name="cst_wskakunin_sekkei7_ZIP">DATA!$F$387</definedName>
    <definedName name="cst_wskakunin_sekkei8__address">DATA!$F$405</definedName>
    <definedName name="cst_wskakunin_sekkei8__sikaku">DATA!$F$393</definedName>
    <definedName name="cst_wskakunin_sekkei8_DOC">DATA!$F$407</definedName>
    <definedName name="cst_wskakunin_sekkei8_JIMU__sikaku">DATA!$F$398</definedName>
    <definedName name="cst_wskakunin_sekkei8_JIMU_NAME">DATA!$F$402</definedName>
    <definedName name="cst_wskakunin_sekkei8_JIMU_NO">DATA!$F$401</definedName>
    <definedName name="cst_wskakunin_sekkei8_JIMU_SIKAKU">DATA!$F$399</definedName>
    <definedName name="cst_wskakunin_sekkei8_JIMU_TOUROKU_KIKAN">DATA!$F$400</definedName>
    <definedName name="cst_wskakunin_sekkei8_jimuname_name">DATA!$F$403</definedName>
    <definedName name="cst_wskakunin_sekkei8_KENTIKUSI_NO">DATA!$F$396</definedName>
    <definedName name="cst_wskakunin_sekkei8_NAME">DATA!$F$397</definedName>
    <definedName name="cst_wskakunin_sekkei8_SIKAKU">DATA!$F$394</definedName>
    <definedName name="cst_wskakunin_sekkei8_TEL">DATA!$F$406</definedName>
    <definedName name="cst_wskakunin_sekkei8_TOUROKU_KIKAN">DATA!$F$395</definedName>
    <definedName name="cst_wskakunin_sekkei8_ZIP">DATA!$F$404</definedName>
    <definedName name="cst_wskakunin_sekkei9__address">DATA!$F$422</definedName>
    <definedName name="cst_wskakunin_sekkei9__sikaku">DATA!$F$410</definedName>
    <definedName name="cst_wskakunin_sekkei9_DOC">DATA!$F$424</definedName>
    <definedName name="cst_wskakunin_sekkei9_JIMU__sikaku">DATA!$F$415</definedName>
    <definedName name="cst_wskakunin_sekkei9_JIMU_NAME">DATA!$F$419</definedName>
    <definedName name="cst_wskakunin_sekkei9_JIMU_NO">DATA!$F$418</definedName>
    <definedName name="cst_wskakunin_sekkei9_JIMU_SIKAKU">DATA!$F$416</definedName>
    <definedName name="cst_wskakunin_sekkei9_JIMU_TOUROKU_KIKAN">DATA!$F$417</definedName>
    <definedName name="cst_wskakunin_sekkei9_jimuname_name">DATA!$F$420</definedName>
    <definedName name="cst_wskakunin_sekkei9_KENTIKUSI_NO">DATA!$F$413</definedName>
    <definedName name="cst_wskakunin_sekkei9_NAME">DATA!$F$414</definedName>
    <definedName name="cst_wskakunin_sekkei9_SIKAKU">DATA!$F$411</definedName>
    <definedName name="cst_wskakunin_sekkei9_TEL">DATA!$F$423</definedName>
    <definedName name="cst_wskakunin_sekkei9_TOUROKU_KIKAN">DATA!$F$412</definedName>
    <definedName name="cst_wskakunin_sekkei9_ZIP">DATA!$F$421</definedName>
    <definedName name="cst_wskakunin_sekou1__address">DATA!$F$771</definedName>
    <definedName name="cst_wskakunin_sekou1__hajime">DATA!$F$825</definedName>
    <definedName name="cst_wskakunin_sekou1__kistar">DATA!$F$826</definedName>
    <definedName name="cst_wskakunin_sekou1_JIMU_NAME">DATA!$F$769</definedName>
    <definedName name="cst_wskakunin_sekou1_kakunin">DATA!$F$773</definedName>
    <definedName name="cst_wskakunin_sekou1_NAME">DATA!$F$765</definedName>
    <definedName name="cst_wskakunin_sekou1_SEKOU__sikaku">DATA!$F$766</definedName>
    <definedName name="cst_wskakunin_sekou1_SEKOU_NO">DATA!$F$768</definedName>
    <definedName name="cst_wskakunin_sekou1_SEKOU_SIKAKU">DATA!$F$767</definedName>
    <definedName name="cst_wskakunin_sekou1_TEL">DATA!$F$772</definedName>
    <definedName name="cst_wskakunin_sekou1_ZIP">DATA!$F$770</definedName>
    <definedName name="cst_wskakunin_sekou2__address">DATA!$F$781</definedName>
    <definedName name="cst_wskakunin_sekou2_JIMU_NAME">DATA!$F$779</definedName>
    <definedName name="cst_wskakunin_sekou2_NAME">DATA!$F$775</definedName>
    <definedName name="cst_wskakunin_sekou2_SEKOU__sikaku">DATA!$F$776</definedName>
    <definedName name="cst_wskakunin_sekou2_SEKOU_NO">DATA!$F$778</definedName>
    <definedName name="cst_wskakunin_sekou2_SEKOU_SIKAKU">DATA!$F$777</definedName>
    <definedName name="cst_wskakunin_sekou2_TEL">DATA!$F$782</definedName>
    <definedName name="cst_wskakunin_sekou2_ZIP">DATA!$F$780</definedName>
    <definedName name="cst_wskakunin_sekou3__address">DATA!$F$791</definedName>
    <definedName name="cst_wskakunin_sekou3_JIMU_NAME">DATA!$F$789</definedName>
    <definedName name="cst_wskakunin_sekou3_NAME">DATA!$F$785</definedName>
    <definedName name="cst_wskakunin_sekou3_SEKOU__sikaku">DATA!$F$786</definedName>
    <definedName name="cst_wskakunin_sekou3_SEKOU_NO">DATA!$F$788</definedName>
    <definedName name="cst_wskakunin_sekou3_SEKOU_SIKAKU">DATA!$F$787</definedName>
    <definedName name="cst_wskakunin_sekou3_TEL">DATA!$F$792</definedName>
    <definedName name="cst_wskakunin_sekou3_ZIP">DATA!$F$790</definedName>
    <definedName name="cst_wskakunin_sekou4__address">DATA!$F$801</definedName>
    <definedName name="cst_wskakunin_sekou4_JIMU_NAME">DATA!$F$799</definedName>
    <definedName name="cst_wskakunin_sekou4_NAME">DATA!$F$795</definedName>
    <definedName name="cst_wskakunin_sekou4_SEKOU__sikaku">DATA!$F$796</definedName>
    <definedName name="cst_wskakunin_sekou4_SEKOU_NO">DATA!$F$798</definedName>
    <definedName name="cst_wskakunin_sekou4_SEKOU_SIKAKU">DATA!$F$797</definedName>
    <definedName name="cst_wskakunin_sekou4_TEL">DATA!$F$802</definedName>
    <definedName name="cst_wskakunin_sekou4_ZIP">DATA!$F$800</definedName>
    <definedName name="cst_wskakunin_sekou5__address">DATA!$F$811</definedName>
    <definedName name="cst_wskakunin_sekou5_JIMU_NAME">DATA!$F$809</definedName>
    <definedName name="cst_wskakunin_sekou5_NAME">DATA!$F$805</definedName>
    <definedName name="cst_wskakunin_sekou5_SEKOU__sikaku">DATA!$F$806</definedName>
    <definedName name="cst_wskakunin_sekou5_SEKOU_NO">DATA!$F$808</definedName>
    <definedName name="cst_wskakunin_sekou5_SEKOU_SIKAKU">DATA!$F$807</definedName>
    <definedName name="cst_wskakunin_sekou5_TEL">DATA!$F$812</definedName>
    <definedName name="cst_wskakunin_sekou5_ZIP">DATA!$F$810</definedName>
    <definedName name="cst_wskakunin_sekou6__address">DATA!$F$821</definedName>
    <definedName name="cst_wskakunin_sekou6_JIMU_NAME">DATA!$F$819</definedName>
    <definedName name="cst_wskakunin_sekou6_NAME">DATA!$F$815</definedName>
    <definedName name="cst_wskakunin_sekou6_SEKOU__sikaku">DATA!$F$816</definedName>
    <definedName name="cst_wskakunin_sekou6_SEKOU_NO">DATA!$F$818</definedName>
    <definedName name="cst_wskakunin_sekou6_SEKOU_SIKAKU">DATA!$F$817</definedName>
    <definedName name="cst_wskakunin_sekou6_TEL">DATA!$F$822</definedName>
    <definedName name="cst_wskakunin_sekou6_ZIP">DATA!$F$820</definedName>
    <definedName name="cst_wskakunin_SHIKITI_MENSEKI_1_TOTAL">DATA!$F$949</definedName>
    <definedName name="cst_wskakunin_SHIKITI_MENSEKI_1A">DATA!$F$925</definedName>
    <definedName name="cst_wskakunin_SHIKITI_MENSEKI_1B">DATA!$F$926</definedName>
    <definedName name="cst_wskakunin_SHIKITI_MENSEKI_1C">DATA!$F$927</definedName>
    <definedName name="cst_wskakunin_SHIKITI_MENSEKI_1D">DATA!$F$928</definedName>
    <definedName name="cst_wskakunin_SHIKITI_MENSEKI_2_TOTAL">DATA!$F$950</definedName>
    <definedName name="cst_wskakunin_SHIKITI_MENSEKI_2A">DATA!$F$929</definedName>
    <definedName name="cst_wskakunin_SHIKITI_MENSEKI_2B">DATA!$F$930</definedName>
    <definedName name="cst_wskakunin_SHIKITI_MENSEKI_2C">DATA!$F$931</definedName>
    <definedName name="cst_wskakunin_SHIKITI_MENSEKI_2D">DATA!$F$932</definedName>
    <definedName name="cst_wskakunin_SHIKITI_MENSEKI_BIKOU">DATA!$F$953</definedName>
    <definedName name="cst_wskakunin_SHINSEI_DATE">DATA!$F$53</definedName>
    <definedName name="cst_wskakunin_TAKASA_MAX_SHINSEI">DATA!$F$1090</definedName>
    <definedName name="cst_wskakunin_TAKASA_MAX_SONOTA">DATA!$F$1091</definedName>
    <definedName name="cst_wskakunin_tekihan01_TEKIHAN_KIKAN_ADDRESS">DATA!$F$840</definedName>
    <definedName name="cst_wskakunin_tekihan01_TEKIHAN_KIKAN_info">DATA!$F$841</definedName>
    <definedName name="cst_wskakunin_tekihan01_TEKIHAN_KIKAN_KEN__ken">DATA!$F$839</definedName>
    <definedName name="cst_wskakunin_tekihan01_TEKIHAN_KIKAN_NAME">DATA!$F$838</definedName>
    <definedName name="cst_wskakunin_tekihan01_TEKIHAN_STATE_mishinsei">DATA!$F$836</definedName>
    <definedName name="cst_wskakunin_tekihan01_TEKIHAN_STATE_shinsei">DATA!$F$835</definedName>
    <definedName name="cst_wskakunin_tekihan01_TEKIHAN_STATE_shinseifuyou">DATA!$F$837</definedName>
    <definedName name="cst_wskakunin_tekihan02_TEKIHAN_KIKAN_ADDRESS">DATA!$F$844</definedName>
    <definedName name="cst_wskakunin_tekihan02_TEKIHAN_KIKAN_info">DATA!$F$845</definedName>
    <definedName name="cst_wskakunin_tekihan02_TEKIHAN_KIKAN_KEN__ken">DATA!$F$843</definedName>
    <definedName name="cst_wskakunin_tekihan02_TEKIHAN_KIKAN_NAME">DATA!$F$842</definedName>
    <definedName name="cst_wskakunin_TOKUREI_TAKASA">DATA!$F$1105</definedName>
    <definedName name="cst_wskakunin_TOKUREI_TAKASA_box_off">DATA!$F$1107</definedName>
    <definedName name="cst_wskakunin_TOKUREI_TAKASA_box_on">DATA!$F$1106</definedName>
    <definedName name="cst_wskakunin_TOKUREI_TAKASA_DOURO">DATA!$F$1110</definedName>
    <definedName name="cst_wskakunin_TOKUREI_TAKASA_KITA">DATA!$F$1112</definedName>
    <definedName name="cst_wskakunin_TOKUREI_TAKASA_RINTI">DATA!$F$1111</definedName>
    <definedName name="cst_wskakunin_TOKUREI_txt">DATA!$F$1186</definedName>
    <definedName name="cst_wskakunin_TOKUTEI_KOUJI_KANRYOU_DATE_select">DATA!$F$1202</definedName>
    <definedName name="cst_wskakunin_TOKUTEI_KOUTEI">DATA!$F$1199</definedName>
    <definedName name="cst_wskakunin_TOKUTEI_KOUTEI_inter1">DATA!$F$1200</definedName>
    <definedName name="cst_wskakunin_TOKUTEI_KOUTEI_inter2">DATA!$F$1201</definedName>
    <definedName name="cst_wskakunin_wskakunin_SONOTA_KUIKI">DATA!$F$917</definedName>
    <definedName name="cst_wskakunin_YOUSEKI_RITU">DATA!$F$1082</definedName>
    <definedName name="cst_wskakunin_YOUSEKI_RITU_A">DATA!$F$939</definedName>
    <definedName name="cst_wskakunin_YOUSEKI_RITU_B">DATA!$F$940</definedName>
    <definedName name="cst_wskakunin_YOUSEKI_RITU_C">DATA!$F$941</definedName>
    <definedName name="cst_wskakunin_YOUSEKI_RITU_D">DATA!$F$942</definedName>
    <definedName name="cst_wskakunin_YOUTO">DATA!$F$956</definedName>
    <definedName name="cst_wskakunin_YOUTO_CODE">DATA!$F$955</definedName>
    <definedName name="cst_wskakunin_YOUTO_TIIKI_A">DATA!$F$934</definedName>
    <definedName name="cst_wskakunin_YOUTO_TIIKI_B">DATA!$F$935</definedName>
    <definedName name="cst_wskakunin_YOUTO_TIIKI_C">DATA!$F$936</definedName>
    <definedName name="cst_wskakunin_YOUTO_TIIKI_D">DATA!$F$937</definedName>
    <definedName name="intFixupTable_new" hidden="1">#REF!</definedName>
    <definedName name="_xlnm.Print_Area" localSheetId="21">チェックシート!$A$1:$N$57</definedName>
    <definedName name="_xlnm.Print_Area" localSheetId="26">チェックシート_検査!$A$1:$N$57</definedName>
    <definedName name="_xlnm.Print_Area" localSheetId="14">海部建設地調書!$A$1:$AB$52</definedName>
    <definedName name="_xlnm.Print_Area" localSheetId="10">概要二面_旧!$B$1:$AD$77</definedName>
    <definedName name="_xlnm.Print_Area" localSheetId="23">換気計算等!$A$1:$Q$36</definedName>
    <definedName name="_xlnm.Print_Area" localSheetId="17">軽微変更報告書!$A$1:$AG$68</definedName>
    <definedName name="_xlnm.Print_Area" localSheetId="8">建築概要一面!$B$1:$AD$153</definedName>
    <definedName name="_xlnm.Print_Area" localSheetId="27">建築計画概要書第三面!$A$1:$DD$65</definedName>
    <definedName name="_xlnm.Print_Area" localSheetId="12">建築工事届_2410!$A$1:$AL$162</definedName>
    <definedName name="_xlnm.Print_Area" localSheetId="22">消防工事計画届!$A$1:$AJ$88</definedName>
    <definedName name="_xlnm.Print_Area" localSheetId="16">浄化槽工事完了報告書!$A$1:$AF$86</definedName>
    <definedName name="_xlnm.Print_Area" localSheetId="15">浄化槽調書!$A$1:$AI$234</definedName>
    <definedName name="_xlnm.Print_Area" localSheetId="18">申請書等記載事項変更届!$A$1:$AG$75</definedName>
    <definedName name="_xlnm.Print_Area" localSheetId="13">中間四面!$A$1:$BE$60</definedName>
    <definedName name="shinsei_build_p6_01_PAGE6_KOUZOU_KEISAN_KIND__002">DATA!$D$50</definedName>
    <definedName name="shinsei_build_p6_01_PAGE6_KOUZOU_KEISAN_KIND__004">DATA!$D$49</definedName>
    <definedName name="shinsei_build_p6_01_PAGE6_KOUZOU_KEISAN_KIND__005">DATA!$D$48</definedName>
    <definedName name="shinsei_build_YOUTO">DATA!$D$1331</definedName>
    <definedName name="shinsei_HIKIUKE_DATE">DATA!$D$38</definedName>
    <definedName name="shinsei_ISSUE_DATE">DATA!$D$43</definedName>
    <definedName name="shinsei_ISSUE_KOUFU_NAME">DATA!$D$45</definedName>
    <definedName name="shinsei_ISSUE_NO">DATA!$D$40</definedName>
    <definedName name="shinsei_KAKU_SUMI_NO">DATA!$D$41</definedName>
    <definedName name="shinsei_PROVO_DATE">DATA!$D$32</definedName>
    <definedName name="shinsei_PROVO_NO">DATA!$D$33</definedName>
    <definedName name="shinsei_UKETUKE_NO">DATA!$D$36</definedName>
    <definedName name="shinsei_UNIT_COUNT">DATA!$D$957</definedName>
    <definedName name="showsheetflag_AKC敷調別紙1">dSHEET!$B$21</definedName>
    <definedName name="showsheetflag_cst_DATA">dSHEET!$B$8</definedName>
    <definedName name="showsheetflag_dAName">dSHEET!$B$7</definedName>
    <definedName name="showsheetflag_DATA">dSHEET!$B$6</definedName>
    <definedName name="showsheetflag_dSHEET">dSHEET!$B$5</definedName>
    <definedName name="showsheetflag_dSTART">dSHEET!$B$4</definedName>
    <definedName name="showsheetflag_NoObject">dSHEET!$B$55</definedName>
    <definedName name="showsheetflag_チェックシート">dSHEET!$B$51</definedName>
    <definedName name="showsheetflag_チェックシート_検査">dSHEET!$B$52</definedName>
    <definedName name="showsheetflag_リスト">dSHEET!$B$11</definedName>
    <definedName name="showsheetflag_安全証明書">dSHEET!$B$47</definedName>
    <definedName name="showsheetflag_委任状">dSHEET!$B$45</definedName>
    <definedName name="showsheetflag_海部建設地調書">dSHEET!$B$39</definedName>
    <definedName name="showsheetflag_概要二面">dSHEET!$B$16</definedName>
    <definedName name="showsheetflag_確認審査取り下げ_済証交付前">dSHEET!$B$34</definedName>
    <definedName name="showsheetflag_確認必要図書">dSHEET!$B$48</definedName>
    <definedName name="showsheetflag_完了四面">dSHEET!$B$25</definedName>
    <definedName name="showsheetflag_換気計算等">dSHEET!$B$46</definedName>
    <definedName name="showsheetflag_軽微変更報告書">dSHEET!$B$42</definedName>
    <definedName name="showsheetflag_建築概要一面">dSHEET!$B$15</definedName>
    <definedName name="showsheetflag_建築計画概要書第三面">dSHEET!$B$53</definedName>
    <definedName name="showsheetflag_建築工事届">dSHEET!$B$18</definedName>
    <definedName name="showsheetflag_建築工事届_2410">dSHEET!$B$19</definedName>
    <definedName name="showsheetflag_検査必要図書">dSHEET!$B$49</definedName>
    <definedName name="showsheetflag_工事取りやめ_済証交付後">dSHEET!$B$35</definedName>
    <definedName name="showsheetflag_項目リスト">dSHEET!$B$9</definedName>
    <definedName name="showsheetflag_消防工事計画届">dSHEET!$B$22</definedName>
    <definedName name="showsheetflag_証明願">dSHEET!$B$37</definedName>
    <definedName name="showsheetflag_浄化槽工事完了報告書">dSHEET!$B$41</definedName>
    <definedName name="showsheetflag_浄化槽調書">dSHEET!$B$40</definedName>
    <definedName name="showsheetflag_申請書等記載事項変更届">dSHEET!$B$43</definedName>
    <definedName name="showsheetflag_説明">dSHEET!$B$12</definedName>
    <definedName name="showsheetflag_中間_完了取り下げ">dSHEET!$B$36</definedName>
    <definedName name="showsheetflag_中間四面">dSHEET!$B$24</definedName>
    <definedName name="showsheetflag_敷地調査票">dSHEET!$B$20</definedName>
    <definedName name="showsheetflag_別紙_監理者">dSHEET!$B$31</definedName>
    <definedName name="showsheetflag_別紙_建築主">dSHEET!$B$27</definedName>
    <definedName name="showsheetflag_別紙_建築主_概要書用">dSHEET!$B$28</definedName>
    <definedName name="showsheetflag_別紙_施工者">dSHEET!$B$32</definedName>
    <definedName name="showsheetflag_別紙_設計者">dSHEET!$B$30</definedName>
    <definedName name="showsheetflag_別紙_代理者">dSHEET!$B$29</definedName>
    <definedName name="showsheetflag_用途の区分">dSHEET!$B$10</definedName>
    <definedName name="wsjob_JOB_KIND">DATA!$D$17</definedName>
    <definedName name="wsjob_JOB_SET_KIND">DATA!$D$12</definedName>
    <definedName name="wsjob_TARGET_KIND">DATA!$D$13</definedName>
    <definedName name="wsjob_TARGET_KIND__label">DATA!$D$11</definedName>
    <definedName name="wskakunin__bouka">DATA!$D$911</definedName>
    <definedName name="wskakunin__kouji">DATA!$D$959</definedName>
    <definedName name="wskakunin__kuiki">DATA!$D$902</definedName>
    <definedName name="wskakunin__tosi_kuiki">DATA!$D$905</definedName>
    <definedName name="wskakunin_20kouzou101_KOUZOUSEKKEI_KOUFU_NO">DATA!$D$480</definedName>
    <definedName name="wskakunin_20kouzou101_NAME">DATA!$D$479</definedName>
    <definedName name="wskakunin_20kouzou102_KOUZOUSEKKEI_KOUFU_NO">DATA!$D$482</definedName>
    <definedName name="wskakunin_20kouzou102_NAME">DATA!$D$481</definedName>
    <definedName name="wskakunin_20kouzou103_KOUZOUSEKKEI_KOUFU_NO">DATA!$D$484</definedName>
    <definedName name="wskakunin_20kouzou103_NAME">DATA!$D$483</definedName>
    <definedName name="wskakunin_20kouzou104_KOUZOUSEKKEI_KOUFU_NO">DATA!$D$486</definedName>
    <definedName name="wskakunin_20kouzou104_NAME">DATA!$D$485</definedName>
    <definedName name="wskakunin_20kouzou105_KOUZOUSEKKEI_KOUFU_NO">DATA!$D$488</definedName>
    <definedName name="wskakunin_20kouzou105_NAME">DATA!$D$487</definedName>
    <definedName name="wskakunin_20kouzou301_KOUZOUSEKKEI_KOUFU_NO">DATA!$D$492</definedName>
    <definedName name="wskakunin_20kouzou301_NAME">DATA!$D$491</definedName>
    <definedName name="wskakunin_20kouzou302_KOUZOUSEKKEI_KOUFU_NO">DATA!$D$494</definedName>
    <definedName name="wskakunin_20kouzou302_NAME">DATA!$D$493</definedName>
    <definedName name="wskakunin_20kouzou303_KOUZOUSEKKEI_KOUFU_NO">DATA!$D$496</definedName>
    <definedName name="wskakunin_20kouzou303_NAME">DATA!$D$495</definedName>
    <definedName name="wskakunin_20kouzou304_KOUZOUSEKKEI_KOUFU_NO">DATA!$D$498</definedName>
    <definedName name="wskakunin_20kouzou304_NAME">DATA!$D$497</definedName>
    <definedName name="wskakunin_20kouzou305_KOUZOUSEKKEI_KOUFU_NO">DATA!$D$500</definedName>
    <definedName name="wskakunin_20kouzou305_NAME">DATA!$D$499</definedName>
    <definedName name="wskakunin_20setubi101_NAME">DATA!$D$503</definedName>
    <definedName name="wskakunin_20setubi101_SETUBISEKKEI_KOUFU_NO">DATA!$D$504</definedName>
    <definedName name="wskakunin_20setubi102_NAME">DATA!$D$505</definedName>
    <definedName name="wskakunin_20setubi102_SETUBISEKKEI_KOUFU_NO">DATA!$D$506</definedName>
    <definedName name="wskakunin_20setubi103_NAME">DATA!$D$507</definedName>
    <definedName name="wskakunin_20setubi103_SETUBISEKKEI_KOUFU_NO">DATA!$D$508</definedName>
    <definedName name="wskakunin_20setubi104_NAME">DATA!$D$509</definedName>
    <definedName name="wskakunin_20setubi104_SETUBISEKKEI_KOUFU_NO">DATA!$D$510</definedName>
    <definedName name="wskakunin_20setubi105_NAME">DATA!$D$511</definedName>
    <definedName name="wskakunin_20setubi105_SETUBISEKKEI_KOUFU_NO">DATA!$D$512</definedName>
    <definedName name="wskakunin_20setubi301_NAME">DATA!$D$515</definedName>
    <definedName name="wskakunin_20setubi301_SETUBISEKKEI_KOUFU_NO">DATA!$D$516</definedName>
    <definedName name="wskakunin_20setubi302_NAME">DATA!$D$517</definedName>
    <definedName name="wskakunin_20setubi302_SETUBISEKKEI_KOUFU_NO">DATA!$D$518</definedName>
    <definedName name="wskakunin_20setubi303_NAME">DATA!$D$519</definedName>
    <definedName name="wskakunin_20setubi303_SETUBISEKKEI_KOUFU_NO">DATA!$D$520</definedName>
    <definedName name="wskakunin_20setubi304_NAME">DATA!$D$521</definedName>
    <definedName name="wskakunin_20setubi304_SETUBISEKKEI_KOUFU_NO">DATA!$D$522</definedName>
    <definedName name="wskakunin_20setubi305_NAME">DATA!$D$523</definedName>
    <definedName name="wskakunin_20setubi305_SETUBISEKKEI_KOUFU_NO">DATA!$D$524</definedName>
    <definedName name="wskakunin_APPLICANT_NAME">DATA!$D$68</definedName>
    <definedName name="wskakunin_BOUKA_22JYO">DATA!$D$915</definedName>
    <definedName name="wskakunin_BOUKA_BOUKA">DATA!$D$912</definedName>
    <definedName name="wskakunin_BOUKA_JYUN_BOUKA">DATA!$D$913</definedName>
    <definedName name="wskakunin_BOUKA_NASI">DATA!$D$914</definedName>
    <definedName name="wskakunin_BOUKA_SETUBI_FLAG">DATA!$D$1173</definedName>
    <definedName name="wskakunin_BUILD__address">DATA!$D$891</definedName>
    <definedName name="wskakunin_BUILD_ADDRESS">DATA!$D$893</definedName>
    <definedName name="wskakunin_BUILD_JYUKYO__address">DATA!$D$896</definedName>
    <definedName name="wskakunin_BUILD_JYUKYO_ADDRESS">DATA!$D$898</definedName>
    <definedName name="wskakunin_BUILD_JYUKYO_KEN__ken">DATA!$D$897</definedName>
    <definedName name="wskakunin_BUILD_KEN__ken">DATA!$D$892</definedName>
    <definedName name="wskakunin_BUILD_NAME">DATA!$D$828</definedName>
    <definedName name="wskakunin_BUILD_NAME_KANA">DATA!$D$829</definedName>
    <definedName name="wskakunin_BUILD_SHINSEI_COUNT">DATA!$D$1085</definedName>
    <definedName name="wskakunin_BUILD_SONOTA_COUNT">DATA!$D$1086</definedName>
    <definedName name="wskakunin_dairi1__address">DATA!$D$196</definedName>
    <definedName name="wskakunin_dairi1__sikaku">DATA!$D$184</definedName>
    <definedName name="wskakunin_dairi1_FAX">DATA!$D$198</definedName>
    <definedName name="wskakunin_dairi1_JIMU__sikaku">DATA!$D$190</definedName>
    <definedName name="wskakunin_dairi1_JIMU_NAME">DATA!$D$194</definedName>
    <definedName name="wskakunin_dairi1_JIMU_NO">DATA!$D$193</definedName>
    <definedName name="wskakunin_dairi1_JIMU_SIKAKU__label">DATA!$D$191</definedName>
    <definedName name="wskakunin_dairi1_JIMU_TOUROKU_KIKAN__label">DATA!$D$192</definedName>
    <definedName name="wskakunin_dairi1_KENTIKUSI_NO">DATA!$D$187</definedName>
    <definedName name="wskakunin_dairi1_NAME">DATA!$D$188</definedName>
    <definedName name="wskakunin_dairi1_NAME_KANA">DATA!$D$189</definedName>
    <definedName name="wskakunin_dairi1_SIKAKU__label">DATA!$D$185</definedName>
    <definedName name="wskakunin_dairi1_TEL">DATA!$D$197</definedName>
    <definedName name="wskakunin_dairi1_TOUROKU_KIKAN__label">DATA!$D$186</definedName>
    <definedName name="wskakunin_dairi1_ZIP">DATA!$D$195</definedName>
    <definedName name="wskakunin_dairi2__address">DATA!$D$214</definedName>
    <definedName name="wskakunin_dairi2__sikaku">DATA!$D$202</definedName>
    <definedName name="wskakunin_dairi2_FAX">DATA!$D$216</definedName>
    <definedName name="wskakunin_dairi2_JIMU__sikaku">DATA!$D$208</definedName>
    <definedName name="wskakunin_dairi2_JIMU_NAME">DATA!$D$212</definedName>
    <definedName name="wskakunin_dairi2_JIMU_NO">DATA!$D$211</definedName>
    <definedName name="wskakunin_dairi2_JIMU_SIKAKU__label">DATA!$D$209</definedName>
    <definedName name="wskakunin_dairi2_JIMU_TOUROKU_KIKAN__label">DATA!$D$210</definedName>
    <definedName name="wskakunin_dairi2_KENTIKUSI_NO">DATA!$D$205</definedName>
    <definedName name="wskakunin_dairi2_NAME">DATA!$D$206</definedName>
    <definedName name="wskakunin_dairi2_NAME_KANA">DATA!$D$207</definedName>
    <definedName name="wskakunin_dairi2_SIKAKU__label">DATA!$D$203</definedName>
    <definedName name="wskakunin_dairi2_TEL">DATA!$D$215</definedName>
    <definedName name="wskakunin_dairi2_TOUROKU_KIKAN__label">DATA!$D$204</definedName>
    <definedName name="wskakunin_dairi2_ZIP">DATA!$D$213</definedName>
    <definedName name="wskakunin_dairi3__address">DATA!$D$232</definedName>
    <definedName name="wskakunin_dairi3__sikaku">DATA!$D$220</definedName>
    <definedName name="wskakunin_dairi3_FAX">DATA!$D$234</definedName>
    <definedName name="wskakunin_dairi3_JIMU__sikaku">DATA!$D$226</definedName>
    <definedName name="wskakunin_dairi3_JIMU_NAME">DATA!$D$230</definedName>
    <definedName name="wskakunin_dairi3_JIMU_NO">DATA!$D$229</definedName>
    <definedName name="wskakunin_dairi3_JIMU_SIKAKU__label">DATA!$D$227</definedName>
    <definedName name="wskakunin_dairi3_JIMU_TOUROKU_KIKAN__label">DATA!$D$228</definedName>
    <definedName name="wskakunin_dairi3_KENTIKUSI_NO">DATA!$D$223</definedName>
    <definedName name="wskakunin_dairi3_NAME">DATA!$D$224</definedName>
    <definedName name="wskakunin_dairi3_NAME_KANA">DATA!$D$225</definedName>
    <definedName name="wskakunin_dairi3_SIKAKU__label">DATA!$D$221</definedName>
    <definedName name="wskakunin_dairi3_TEL">DATA!$D$233</definedName>
    <definedName name="wskakunin_dairi3_TOUROKU_KIKAN__label">DATA!$D$222</definedName>
    <definedName name="wskakunin_dairi3_ZIP">DATA!$D$231</definedName>
    <definedName name="wskakunin_dairi4__address">DATA!$D$250</definedName>
    <definedName name="wskakunin_dairi4__sikaku">DATA!$D$238</definedName>
    <definedName name="wskakunin_dairi4_FAX">DATA!$D$252</definedName>
    <definedName name="wskakunin_dairi4_JIMU__sikaku">DATA!$D$244</definedName>
    <definedName name="wskakunin_dairi4_JIMU_NAME">DATA!$D$248</definedName>
    <definedName name="wskakunin_dairi4_JIMU_NO">DATA!$D$247</definedName>
    <definedName name="wskakunin_dairi4_JIMU_SIKAKU__label">DATA!$D$245</definedName>
    <definedName name="wskakunin_dairi4_JIMU_TOUROKU_KIKAN__label">DATA!$D$246</definedName>
    <definedName name="wskakunin_dairi4_KENTIKUSI_NO">DATA!$D$241</definedName>
    <definedName name="wskakunin_dairi4_NAME">DATA!$D$242</definedName>
    <definedName name="wskakunin_dairi4_NAME_KANA">DATA!$D$243</definedName>
    <definedName name="wskakunin_dairi4_SIKAKU__label">DATA!$D$239</definedName>
    <definedName name="wskakunin_dairi4_TEL">DATA!$D$251</definedName>
    <definedName name="wskakunin_dairi4_TOUROKU_KIKAN__label">DATA!$D$240</definedName>
    <definedName name="wskakunin_dairi4_ZIP">DATA!$D$249</definedName>
    <definedName name="wskakunin_dairi5__address">DATA!$D$268</definedName>
    <definedName name="wskakunin_dairi5__sikaku">DATA!$D$256</definedName>
    <definedName name="wskakunin_dairi5_FAX">DATA!$D$270</definedName>
    <definedName name="wskakunin_dairi5_JIMU__sikaku">DATA!$D$262</definedName>
    <definedName name="wskakunin_dairi5_JIMU_NAME">DATA!$D$266</definedName>
    <definedName name="wskakunin_dairi5_JIMU_NO">DATA!$D$265</definedName>
    <definedName name="wskakunin_dairi5_JIMU_SIKAKU__label">DATA!$D$263</definedName>
    <definedName name="wskakunin_dairi5_JIMU_TOUROKU_KIKAN__label">DATA!$D$264</definedName>
    <definedName name="wskakunin_dairi5_KENTIKUSI_NO">DATA!$D$259</definedName>
    <definedName name="wskakunin_dairi5_NAME">DATA!$D$260</definedName>
    <definedName name="wskakunin_dairi5_NAME_KANA">DATA!$D$261</definedName>
    <definedName name="wskakunin_dairi5_SIKAKU__label">DATA!$D$257</definedName>
    <definedName name="wskakunin_dairi5_TEL">DATA!$D$269</definedName>
    <definedName name="wskakunin_dairi5_TOUROKU_KIKAN__label">DATA!$D$258</definedName>
    <definedName name="wskakunin_dairi5_ZIP">DATA!$D$267</definedName>
    <definedName name="wskakunin_DOURO_FUKUIN">DATA!$D$920</definedName>
    <definedName name="wskakunin_DOURO_NAGASA">DATA!$D$921</definedName>
    <definedName name="wskakunin_ecotekihan01_FUYOU_CAUSE">DATA!$D$858</definedName>
    <definedName name="wskakunin_ecotekihan01_TEKIHAN_KIKAN_ADDRESS">DATA!$D$854</definedName>
    <definedName name="wskakunin_ecotekihan01_TEKIHAN_KIKAN_KEN__ken">DATA!$D$853</definedName>
    <definedName name="wskakunin_ecotekihan01_TEKIHAN_KIKAN_NAME">DATA!$D$852</definedName>
    <definedName name="wskakunin_ecotekihan01_TEKIHAN_STATE">DATA!$D$848</definedName>
    <definedName name="wskakunin_gaiyou1_EV_KIND">DATA!$D$989</definedName>
    <definedName name="wskakunin_gaiyou1_KOUJI_KAITIKU">DATA!$D$976</definedName>
    <definedName name="wskakunin_gaiyou1_KOUJI_SINTIKU">DATA!$D$974</definedName>
    <definedName name="wskakunin_gaiyou1_KOUJI_SONOTA">DATA!$D$977</definedName>
    <definedName name="wskakunin_gaiyou1_KOUJI_SONOTA_TEXT">DATA!$D$978</definedName>
    <definedName name="wskakunin_gaiyou1_KOUJI_ZOUTIKU">DATA!$D$975</definedName>
    <definedName name="wskakunin_gaiyou1_KOUZOU">DATA!$D$973</definedName>
    <definedName name="wskakunin_gaiyou1_NINSYOU_NO">DATA!$D$995</definedName>
    <definedName name="wskakunin_gaiyou1_NO">DATA!$D$988</definedName>
    <definedName name="wskakunin_gaiyou1_SEKISAI">DATA!$D$991</definedName>
    <definedName name="wskakunin_gaiyou1_SONOTA">DATA!$D$994</definedName>
    <definedName name="wskakunin_gaiyou1_SONOTA_and_NINSYOU_NO">DATA!$D$996</definedName>
    <definedName name="wskakunin_gaiyou1_SPEED">DATA!$D$993</definedName>
    <definedName name="wskakunin_gaiyou1_TAKASA">DATA!$D$972</definedName>
    <definedName name="wskakunin_gaiyou1_TEIIN">DATA!$D$992</definedName>
    <definedName name="wskakunin_gaiyou1_TIKUZOU_MENSEKI_IGAI">DATA!$D$981</definedName>
    <definedName name="wskakunin_gaiyou1_TIKUZOU_MENSEKI_SHINSEI">DATA!$D$980</definedName>
    <definedName name="wskakunin_gaiyou1_TIKUZOU_MENSEKI_TOTAL">DATA!$D$982</definedName>
    <definedName name="wskakunin_gaiyou1_WORK_COUNT_IGAI">DATA!$D$984</definedName>
    <definedName name="wskakunin_gaiyou1_WORK_COUNT_SHINSEI">DATA!$D$983</definedName>
    <definedName name="wskakunin_gaiyou1_WORK_COUNT_TOTAL">DATA!$D$985</definedName>
    <definedName name="wskakunin_gaiyou1_WORK_SYURUI">DATA!$D$971</definedName>
    <definedName name="wskakunin_gaiyou1_WORK_SYURUI_CODE">DATA!$D$970</definedName>
    <definedName name="wskakunin_gaiyou1_YOUTO">DATA!$D$990</definedName>
    <definedName name="wskakunin_iken1__address">DATA!$D$531</definedName>
    <definedName name="wskakunin_iken1_DOC">DATA!$D$534</definedName>
    <definedName name="wskakunin_iken1_IKEN_NO">DATA!$D$533</definedName>
    <definedName name="wskakunin_iken1_JIMU_NAME">DATA!$D$529</definedName>
    <definedName name="wskakunin_iken1_NAME">DATA!$D$528</definedName>
    <definedName name="wskakunin_iken1_TEL">DATA!$D$532</definedName>
    <definedName name="wskakunin_iken1_ZIP">DATA!$D$530</definedName>
    <definedName name="wskakunin_iken2__address">DATA!$D$540</definedName>
    <definedName name="wskakunin_iken2_DOC">DATA!$D$543</definedName>
    <definedName name="wskakunin_iken2_IKEN_NO">DATA!$D$542</definedName>
    <definedName name="wskakunin_iken2_JIMU_NAME">DATA!$D$538</definedName>
    <definedName name="wskakunin_iken2_NAME">DATA!$D$537</definedName>
    <definedName name="wskakunin_iken2_TEL">DATA!$D$541</definedName>
    <definedName name="wskakunin_iken2_ZIP">DATA!$D$539</definedName>
    <definedName name="wskakunin_iken3__address">DATA!$D$549</definedName>
    <definedName name="wskakunin_iken3_DOC">DATA!$D$552</definedName>
    <definedName name="wskakunin_iken3_IKEN_NO">DATA!$D$551</definedName>
    <definedName name="wskakunin_iken3_JIMU_NAME">DATA!$D$547</definedName>
    <definedName name="wskakunin_iken3_NAME">DATA!$D$546</definedName>
    <definedName name="wskakunin_iken3_TEL">DATA!$D$550</definedName>
    <definedName name="wskakunin_iken3_ZIP">DATA!$D$548</definedName>
    <definedName name="wskakunin_iken4__address">DATA!$D$558</definedName>
    <definedName name="wskakunin_iken4_DOC">DATA!$D$561</definedName>
    <definedName name="wskakunin_iken4_IKEN_NO">DATA!$D$560</definedName>
    <definedName name="wskakunin_iken4_JIMU_NAME">DATA!$D$556</definedName>
    <definedName name="wskakunin_iken4_NAME">DATA!$D$555</definedName>
    <definedName name="wskakunin_iken4_TEL">DATA!$D$559</definedName>
    <definedName name="wskakunin_iken4_ZIP">DATA!$D$557</definedName>
    <definedName name="wskakunin_iken5__address">DATA!$D$566</definedName>
    <definedName name="wskakunin_iken5_DOC">DATA!$D$569</definedName>
    <definedName name="wskakunin_iken5_IKEN_NO">DATA!$D$568</definedName>
    <definedName name="wskakunin_iken5_JIMU_NAME">DATA!$D$564</definedName>
    <definedName name="wskakunin_iken5_NAME">DATA!$D$563</definedName>
    <definedName name="wskakunin_iken5_TEL">DATA!$D$567</definedName>
    <definedName name="wskakunin_iken5_ZIP">DATA!$D$565</definedName>
    <definedName name="wskakunin_KAISU_TIJYOU_SHINSEI">DATA!$D$1093</definedName>
    <definedName name="wskakunin_KAISU_TIJYOU_SONOTA">DATA!$D$1094</definedName>
    <definedName name="wskakunin_KAISU_TIKA_SHINSEI__zero">DATA!$D$1096</definedName>
    <definedName name="wskakunin_KAISU_TIKA_SONOTA">DATA!$D$1097</definedName>
    <definedName name="wskakunin_kanri1__address">DATA!$D$584</definedName>
    <definedName name="wskakunin_kanri1__sikaku">DATA!$D$572</definedName>
    <definedName name="wskakunin_kanri1_DOC">DATA!$D$586</definedName>
    <definedName name="wskakunin_kanri1_JIMU__sikaku">DATA!$D$577</definedName>
    <definedName name="wskakunin_kanri1_JIMU_NAME">DATA!$D$581</definedName>
    <definedName name="wskakunin_kanri1_JIMU_NO">DATA!$D$580</definedName>
    <definedName name="wskakunin_kanri1_JIMU_SIKAKU__label">DATA!$D$578</definedName>
    <definedName name="wskakunin_kanri1_JIMU_TOUROKU_KIKAN__label">DATA!$D$579</definedName>
    <definedName name="wskakunin_kanri1_KENTIKUSI_NO">DATA!$D$575</definedName>
    <definedName name="wskakunin_kanri1_NAME">DATA!$D$576</definedName>
    <definedName name="wskakunin_kanri1_SIKAKU__label">DATA!$D$573</definedName>
    <definedName name="wskakunin_kanri1_TEL">DATA!$D$585</definedName>
    <definedName name="wskakunin_kanri1_TOUROKU_KIKAN__label">DATA!$D$574</definedName>
    <definedName name="wskakunin_kanri1_ZIP">DATA!$D$582</definedName>
    <definedName name="wskakunin_kanri10__address">DATA!$D$728</definedName>
    <definedName name="wskakunin_kanri10__sikaku">DATA!$D$717</definedName>
    <definedName name="wskakunin_kanri10_DOC">DATA!$D$730</definedName>
    <definedName name="wskakunin_kanri10_JIMU__sikaku">DATA!$D$722</definedName>
    <definedName name="wskakunin_kanri10_JIMU_NAME">DATA!$D$726</definedName>
    <definedName name="wskakunin_kanri10_JIMU_NO">DATA!$D$725</definedName>
    <definedName name="wskakunin_kanri10_JIMU_SIKAKU__label">DATA!$D$723</definedName>
    <definedName name="wskakunin_kanri10_JIMU_TOUROKU_KIKAN__label">DATA!$D$724</definedName>
    <definedName name="wskakunin_kanri10_KENTIKUSI_NO">DATA!$D$720</definedName>
    <definedName name="wskakunin_kanri10_NAME">DATA!$D$721</definedName>
    <definedName name="wskakunin_kanri10_SIKAKU__label">DATA!$D$718</definedName>
    <definedName name="wskakunin_kanri10_TEL">DATA!$D$729</definedName>
    <definedName name="wskakunin_kanri10_TOUROKU_KIKAN__label">DATA!$D$719</definedName>
    <definedName name="wskakunin_kanri10_ZIP">DATA!$D$727</definedName>
    <definedName name="wskakunin_kanri11__address">DATA!$D$744</definedName>
    <definedName name="wskakunin_kanri11__sikaku">DATA!$D$733</definedName>
    <definedName name="wskakunin_kanri11_DOC">DATA!$D$746</definedName>
    <definedName name="wskakunin_kanri11_JIMU__sikaku">DATA!$D$738</definedName>
    <definedName name="wskakunin_kanri11_JIMU_NAME">DATA!$D$742</definedName>
    <definedName name="wskakunin_kanri11_JIMU_NO">DATA!$D$741</definedName>
    <definedName name="wskakunin_kanri11_JIMU_SIKAKU__label">DATA!$D$739</definedName>
    <definedName name="wskakunin_kanri11_JIMU_TOUROKU_KIKAN__label">DATA!$D$740</definedName>
    <definedName name="wskakunin_kanri11_KENTIKUSI_NO">DATA!$D$736</definedName>
    <definedName name="wskakunin_kanri11_NAME">DATA!$D$737</definedName>
    <definedName name="wskakunin_kanri11_SIKAKU__label">DATA!$D$734</definedName>
    <definedName name="wskakunin_kanri11_TEL">DATA!$D$745</definedName>
    <definedName name="wskakunin_kanri11_TOUROKU_KIKAN__label">DATA!$D$735</definedName>
    <definedName name="wskakunin_kanri11_ZIP">DATA!$D$743</definedName>
    <definedName name="wskakunin_kanri12__address">DATA!$D$760</definedName>
    <definedName name="wskakunin_kanri12__sikaku">DATA!$D$749</definedName>
    <definedName name="wskakunin_kanri12_DOC">DATA!$D$762</definedName>
    <definedName name="wskakunin_kanri12_JIMU__sikaku">DATA!$D$754</definedName>
    <definedName name="wskakunin_kanri12_JIMU_NAME">DATA!$D$758</definedName>
    <definedName name="wskakunin_kanri12_JIMU_NO">DATA!$D$757</definedName>
    <definedName name="wskakunin_kanri12_JIMU_SIKAKU__label">DATA!$D$755</definedName>
    <definedName name="wskakunin_kanri12_JIMU_TOUROKU_KIKAN__label">DATA!$D$756</definedName>
    <definedName name="wskakunin_kanri12_KENTIKUSI_NO">DATA!$D$752</definedName>
    <definedName name="wskakunin_kanri12_NAME">DATA!$D$753</definedName>
    <definedName name="wskakunin_kanri12_SIKAKU__label">DATA!$D$750</definedName>
    <definedName name="wskakunin_kanri12_TEL">DATA!$D$761</definedName>
    <definedName name="wskakunin_kanri12_TOUROKU_KIKAN__label">DATA!$D$751</definedName>
    <definedName name="wskakunin_kanri12_ZIP">DATA!$D$759</definedName>
    <definedName name="wskakunin_kanri2__address">DATA!$D$600</definedName>
    <definedName name="wskakunin_kanri2__sikaku">DATA!$D$589</definedName>
    <definedName name="wskakunin_kanri2_DOC">DATA!$D$602</definedName>
    <definedName name="wskakunin_kanri2_JIMU__sikaku">DATA!$D$594</definedName>
    <definedName name="wskakunin_kanri2_JIMU_NAME">DATA!$D$598</definedName>
    <definedName name="wskakunin_kanri2_JIMU_NO">DATA!$D$597</definedName>
    <definedName name="wskakunin_kanri2_JIMU_SIKAKU__label">DATA!$D$595</definedName>
    <definedName name="wskakunin_kanri2_JIMU_TOUROKU_KIKAN__label">DATA!$D$596</definedName>
    <definedName name="wskakunin_kanri2_KENTIKUSI_NO">DATA!$D$592</definedName>
    <definedName name="wskakunin_kanri2_NAME">DATA!$D$593</definedName>
    <definedName name="wskakunin_kanri2_SIKAKU__label">DATA!$D$590</definedName>
    <definedName name="wskakunin_kanri2_TEL">DATA!$D$601</definedName>
    <definedName name="wskakunin_kanri2_TOUROKU_KIKAN__label">DATA!$D$591</definedName>
    <definedName name="wskakunin_kanri2_ZIP">DATA!$D$599</definedName>
    <definedName name="wskakunin_kanri3__address">DATA!$D$616</definedName>
    <definedName name="wskakunin_kanri3__sikaku">DATA!$D$605</definedName>
    <definedName name="wskakunin_kanri3_DOC">DATA!$D$618</definedName>
    <definedName name="wskakunin_kanri3_JIMU__sikaku">DATA!$D$610</definedName>
    <definedName name="wskakunin_kanri3_JIMU_NAME">DATA!$D$614</definedName>
    <definedName name="wskakunin_kanri3_JIMU_NO">DATA!$D$613</definedName>
    <definedName name="wskakunin_kanri3_JIMU_SIKAKU__label">DATA!$D$611</definedName>
    <definedName name="wskakunin_kanri3_JIMU_TOUROKU_KIKAN__label">DATA!$D$612</definedName>
    <definedName name="wskakunin_kanri3_KENTIKUSI_NO">DATA!$D$608</definedName>
    <definedName name="wskakunin_kanri3_NAME">DATA!$D$609</definedName>
    <definedName name="wskakunin_kanri3_SIKAKU__label">DATA!$D$606</definedName>
    <definedName name="wskakunin_kanri3_TEL">DATA!$D$617</definedName>
    <definedName name="wskakunin_kanri3_TOUROKU_KIKAN__label">DATA!$D$607</definedName>
    <definedName name="wskakunin_kanri3_ZIP">DATA!$D$615</definedName>
    <definedName name="wskakunin_kanri4__address">DATA!$D$632</definedName>
    <definedName name="wskakunin_kanri4__sikaku">DATA!$D$621</definedName>
    <definedName name="wskakunin_kanri4_DOC">DATA!$D$634</definedName>
    <definedName name="wskakunin_kanri4_JIMU__sikaku">DATA!$D$626</definedName>
    <definedName name="wskakunin_kanri4_JIMU_NAME">DATA!$D$630</definedName>
    <definedName name="wskakunin_kanri4_JIMU_NO">DATA!$D$629</definedName>
    <definedName name="wskakunin_kanri4_JIMU_SIKAKU__label">DATA!$D$627</definedName>
    <definedName name="wskakunin_kanri4_JIMU_TOUROKU_KIKAN__label">DATA!$D$628</definedName>
    <definedName name="wskakunin_kanri4_KENTIKUSI_NO">DATA!$D$624</definedName>
    <definedName name="wskakunin_kanri4_NAME">DATA!$D$625</definedName>
    <definedName name="wskakunin_kanri4_SIKAKU__label">DATA!$D$622</definedName>
    <definedName name="wskakunin_kanri4_TEL">DATA!$D$633</definedName>
    <definedName name="wskakunin_kanri4_TOUROKU_KIKAN__label">DATA!$D$623</definedName>
    <definedName name="wskakunin_kanri4_ZIP">DATA!$D$631</definedName>
    <definedName name="wskakunin_kanri5__address">DATA!$D$648</definedName>
    <definedName name="wskakunin_kanri5__sikaku">DATA!$D$637</definedName>
    <definedName name="wskakunin_kanri5_DOC">DATA!$D$650</definedName>
    <definedName name="wskakunin_kanri5_JIMU__sikaku">DATA!$D$642</definedName>
    <definedName name="wskakunin_kanri5_JIMU_NAME">DATA!$D$646</definedName>
    <definedName name="wskakunin_kanri5_JIMU_NO">DATA!$D$645</definedName>
    <definedName name="wskakunin_kanri5_JIMU_SIKAKU__label">DATA!$D$643</definedName>
    <definedName name="wskakunin_kanri5_JIMU_TOUROKU_KIKAN__label">DATA!$D$644</definedName>
    <definedName name="wskakunin_kanri5_KENTIKUSI_NO">DATA!$D$640</definedName>
    <definedName name="wskakunin_kanri5_NAME">DATA!$D$641</definedName>
    <definedName name="wskakunin_kanri5_SIKAKU__label">DATA!$D$638</definedName>
    <definedName name="wskakunin_kanri5_TEL">DATA!$D$649</definedName>
    <definedName name="wskakunin_kanri5_TOUROKU_KIKAN__label">DATA!$D$639</definedName>
    <definedName name="wskakunin_kanri5_ZIP">DATA!$D$647</definedName>
    <definedName name="wskakunin_kanri6__address">DATA!$D$664</definedName>
    <definedName name="wskakunin_kanri6__sikaku">DATA!$D$653</definedName>
    <definedName name="wskakunin_kanri6_DOC">DATA!$D$666</definedName>
    <definedName name="wskakunin_kanri6_JIMU__sikaku">DATA!$D$658</definedName>
    <definedName name="wskakunin_kanri6_JIMU_NAME">DATA!$D$662</definedName>
    <definedName name="wskakunin_kanri6_JIMU_NO">DATA!$D$661</definedName>
    <definedName name="wskakunin_kanri6_JIMU_SIKAKU__label">DATA!$D$659</definedName>
    <definedName name="wskakunin_kanri6_JIMU_TOUROKU_KIKAN__label">DATA!$D$660</definedName>
    <definedName name="wskakunin_kanri6_KENTIKUSI_NO">DATA!$D$656</definedName>
    <definedName name="wskakunin_kanri6_NAME">DATA!$D$657</definedName>
    <definedName name="wskakunin_kanri6_SIKAKU__label">DATA!$D$654</definedName>
    <definedName name="wskakunin_kanri6_TEL">DATA!$D$665</definedName>
    <definedName name="wskakunin_kanri6_TOUROKU_KIKAN__label">DATA!$D$655</definedName>
    <definedName name="wskakunin_kanri6_ZIP">DATA!$D$663</definedName>
    <definedName name="wskakunin_kanri7__address">DATA!$D$680</definedName>
    <definedName name="wskakunin_kanri7__sikaku">DATA!$D$669</definedName>
    <definedName name="wskakunin_kanri7_DOC">DATA!$D$682</definedName>
    <definedName name="wskakunin_kanri7_JIMU__sikaku">DATA!$D$674</definedName>
    <definedName name="wskakunin_kanri7_JIMU_NAME">DATA!$D$678</definedName>
    <definedName name="wskakunin_kanri7_JIMU_NO">DATA!$D$677</definedName>
    <definedName name="wskakunin_kanri7_JIMU_SIKAKU__label">DATA!$D$675</definedName>
    <definedName name="wskakunin_kanri7_JIMU_TOUROKU_KIKAN__label">DATA!$D$676</definedName>
    <definedName name="wskakunin_kanri7_KENTIKUSI_NO">DATA!$D$672</definedName>
    <definedName name="wskakunin_kanri7_NAME">DATA!$D$673</definedName>
    <definedName name="wskakunin_kanri7_SIKAKU__label">DATA!$D$670</definedName>
    <definedName name="wskakunin_kanri7_TEL">DATA!$D$681</definedName>
    <definedName name="wskakunin_kanri7_TOUROKU_KIKAN__label">DATA!$D$671</definedName>
    <definedName name="wskakunin_kanri7_ZIP">DATA!$D$679</definedName>
    <definedName name="wskakunin_kanri8__address">DATA!$D$696</definedName>
    <definedName name="wskakunin_kanri8__sikaku">DATA!$D$685</definedName>
    <definedName name="wskakunin_kanri8_DOC">DATA!$D$698</definedName>
    <definedName name="wskakunin_kanri8_JIMU__sikaku">DATA!$D$690</definedName>
    <definedName name="wskakunin_kanri8_JIMU_NAME">DATA!$D$694</definedName>
    <definedName name="wskakunin_kanri8_JIMU_NO">DATA!$D$693</definedName>
    <definedName name="wskakunin_kanri8_JIMU_SIKAKU__label">DATA!$D$691</definedName>
    <definedName name="wskakunin_kanri8_JIMU_TOUROKU_KIKAN__label">DATA!$D$692</definedName>
    <definedName name="wskakunin_kanri8_KENTIKUSI_NO">DATA!$D$688</definedName>
    <definedName name="wskakunin_kanri8_NAME">DATA!$D$689</definedName>
    <definedName name="wskakunin_kanri8_SIKAKU__label">DATA!$D$686</definedName>
    <definedName name="wskakunin_kanri8_TEL">DATA!$D$697</definedName>
    <definedName name="wskakunin_kanri8_TOUROKU_KIKAN__label">DATA!$D$687</definedName>
    <definedName name="wskakunin_kanri8_ZIP">DATA!$D$695</definedName>
    <definedName name="wskakunin_kanri9__address">DATA!$D$712</definedName>
    <definedName name="wskakunin_kanri9__sikaku">DATA!$D$701</definedName>
    <definedName name="wskakunin_kanri9_DOC">DATA!$D$714</definedName>
    <definedName name="wskakunin_kanri9_JIMU__sikaku">DATA!$D$706</definedName>
    <definedName name="wskakunin_kanri9_JIMU_NAME">DATA!$D$710</definedName>
    <definedName name="wskakunin_kanri9_JIMU_NO">DATA!$D$709</definedName>
    <definedName name="wskakunin_kanri9_JIMU_SIKAKU__label">DATA!$D$707</definedName>
    <definedName name="wskakunin_kanri9_JIMU_TOUROKU_KIKAN__label">DATA!$D$708</definedName>
    <definedName name="wskakunin_kanri9_KENTIKUSI_NO">DATA!$D$704</definedName>
    <definedName name="wskakunin_kanri9_NAME">DATA!$D$705</definedName>
    <definedName name="wskakunin_kanri9_SIKAKU__label">DATA!$D$702</definedName>
    <definedName name="wskakunin_kanri9_TEL">DATA!$D$713</definedName>
    <definedName name="wskakunin_kanri9_TOUROKU_KIKAN__label">DATA!$D$703</definedName>
    <definedName name="wskakunin_kanri9_ZIP">DATA!$D$711</definedName>
    <definedName name="wskakunin_keibi_henkou01_HENKOU_GAIYOU">DATA!$D$1296</definedName>
    <definedName name="wskakunin_keibi_henkou01_HENKOU_SYURUI">DATA!$D$1295</definedName>
    <definedName name="wskakunin_KENPEI_RITU">DATA!$D$1005</definedName>
    <definedName name="wskakunin_KENPEI_RITU_A">DATA!$D$944</definedName>
    <definedName name="wskakunin_KENPEI_RITU_B">DATA!$D$945</definedName>
    <definedName name="wskakunin_KENPEI_RITU_C">DATA!$D$946</definedName>
    <definedName name="wskakunin_KENPEI_RITU_D">DATA!$D$947</definedName>
    <definedName name="wskakunin_KENSA_YUKA_MENSEKI">DATA!$D$1204</definedName>
    <definedName name="wskakunin_KENTIKU_MENSEKI_IGAI">DATA!$D$1003</definedName>
    <definedName name="wskakunin_KENTIKU_MENSEKI_SHINSEI">DATA!$D$1002</definedName>
    <definedName name="wskakunin_KENTIKU_MENSEKI_TOTAL">DATA!$D$1004</definedName>
    <definedName name="wskakunin_KENTIKU_MENSEKI_ZENTAI_IGAI">DATA!$D$1000</definedName>
    <definedName name="wskakunin_KENTIKU_MENSEKI_ZENTAI_SHINSEI">DATA!$D$999</definedName>
    <definedName name="wskakunin_KENTIKU_MENSEKI_ZENTAI_TOTAL">DATA!$D$1001</definedName>
    <definedName name="wskakunin_KENTIKU_NINSYO_NO">DATA!$D$1192</definedName>
    <definedName name="wskakunin_KIKAN_NAME">DATA!$D$51</definedName>
    <definedName name="wskakunin_KITEI_CHOUSA_FLAG">DATA!$D$1170</definedName>
    <definedName name="wskakunin_KOUJI_DAI_MOYOUGAE">DATA!$D$966</definedName>
    <definedName name="wskakunin_KOUJI_DAI_SYUUZEN">DATA!$D$965</definedName>
    <definedName name="wskakunin_KOUJI_ITEN">DATA!$D$963</definedName>
    <definedName name="wskakunin_KOUJI_KAITIKU">DATA!$D$962</definedName>
    <definedName name="wskakunin_KOUJI_KANRYOU_DATE">DATA!$D$1299</definedName>
    <definedName name="wskakunin_KOUJI_KANRYOU_YOTEI_DATE">DATA!$D$1143</definedName>
    <definedName name="wskakunin_KOUJI_SINTIKU">DATA!$D$960</definedName>
    <definedName name="wskakunin_KOUJI_TYAKUSYU_DATE">DATA!$D$1194</definedName>
    <definedName name="wskakunin_KOUJI_TYAKUSYU_YOTEI_DATE">DATA!$D$1141</definedName>
    <definedName name="wskakunin_KOUJI_YOUTOHENKOU">DATA!$D$964</definedName>
    <definedName name="wskakunin_KOUJI_ZOUTIKU">DATA!$D$961</definedName>
    <definedName name="wskakunin_koutei_ikou01_KOUTEI_DATE">DATA!$D$1267</definedName>
    <definedName name="wskakunin_koutei_ikou01_KOUTEI_KAISUU">DATA!$D$1265</definedName>
    <definedName name="wskakunin_koutei_ikou01_KOUTEI_TEXT">DATA!$D$1266</definedName>
    <definedName name="wskakunin_koutei_ikou02_KOUTEI_DATE">DATA!$D$1272</definedName>
    <definedName name="wskakunin_koutei_ikou02_KOUTEI_KAISUU">DATA!$D$1270</definedName>
    <definedName name="wskakunin_koutei_ikou02_KOUTEI_TEXT">DATA!$D$1271</definedName>
    <definedName name="wskakunin_koutei_izen01_INTER_ISSUE_DATE">DATA!$D$1212</definedName>
    <definedName name="wskakunin_koutei_izen01_INTER_ISSUE_NAME">DATA!$D$1210</definedName>
    <definedName name="wskakunin_koutei_izen01_INTER_ISSUE_NO">DATA!$D$1211</definedName>
    <definedName name="wskakunin_koutei_izen01_KOUTEI_KAISUU">DATA!$D$1208</definedName>
    <definedName name="wskakunin_koutei_izen01_KOUTEI_TEXT">DATA!$D$1209</definedName>
    <definedName name="wskakunin_koutei_izen02_INTER_ISSUE_DATE">DATA!$D$1219</definedName>
    <definedName name="wskakunin_koutei_izen02_INTER_ISSUE_NAME">DATA!$D$1217</definedName>
    <definedName name="wskakunin_koutei_izen02_INTER_ISSUE_NO">DATA!$D$1218</definedName>
    <definedName name="wskakunin_koutei_izen02_KOUTEI_KAISUU">DATA!$D$1215</definedName>
    <definedName name="wskakunin_koutei_izen02_KOUTEI_TEXT">DATA!$D$1216</definedName>
    <definedName name="wskakunin_koutei_izen03_INTER_ISSUE_DATE">DATA!$D$1226</definedName>
    <definedName name="wskakunin_koutei_izen03_INTER_ISSUE_NAME">DATA!$D$1224</definedName>
    <definedName name="wskakunin_koutei_izen03_INTER_ISSUE_NO">DATA!$D$1225</definedName>
    <definedName name="wskakunin_koutei_izen03_KOUTEI_KAISUU">DATA!$D$1222</definedName>
    <definedName name="wskakunin_koutei_izen03_KOUTEI_TEXT">DATA!$D$1223</definedName>
    <definedName name="wskakunin_koutei_izen04_INTER_ISSUE_DATE">DATA!$D$1233</definedName>
    <definedName name="wskakunin_koutei_izen04_INTER_ISSUE_NAME">DATA!$D$1231</definedName>
    <definedName name="wskakunin_koutei_izen04_INTER_ISSUE_NO">DATA!$D$1232</definedName>
    <definedName name="wskakunin_koutei_izen04_KOUTEI_KAISUU">DATA!$D$1229</definedName>
    <definedName name="wskakunin_koutei_izen04_KOUTEI_TEXT">DATA!$D$1230</definedName>
    <definedName name="wskakunin_koutei01_INTER_ISSUE_DATE">DATA!$D$1306</definedName>
    <definedName name="wskakunin_koutei01_INTER_ISSUE_NAME">DATA!$D$1304</definedName>
    <definedName name="wskakunin_koutei01_INTER_ISSUE_NO">DATA!$D$1305</definedName>
    <definedName name="wskakunin_koutei01_KOUTEI_DATE">DATA!$D$1152</definedName>
    <definedName name="wskakunin_koutei01_KOUTEI_KAISUU">DATA!$D$1151</definedName>
    <definedName name="wskakunin_koutei01_KOUTEI_TEXT">DATA!$D$1153</definedName>
    <definedName name="wskakunin_koutei02_INTER_ISSUE_DATE">DATA!$D$1320</definedName>
    <definedName name="wskakunin_koutei02_INTER_ISSUE_NAME">DATA!$D$1318</definedName>
    <definedName name="wskakunin_koutei02_INTER_ISSUE_NO">DATA!$D$1319</definedName>
    <definedName name="wskakunin_koutei02_KOUTEI_DATE">DATA!$D$1157</definedName>
    <definedName name="wskakunin_koutei02_KOUTEI_KAISUU">DATA!$D$1156</definedName>
    <definedName name="wskakunin_koutei02_KOUTEI_TEXT">DATA!$D$1158</definedName>
    <definedName name="wskakunin_koutei03_KOUTEI_DATE">DATA!$D$1162</definedName>
    <definedName name="wskakunin_koutei03_KOUTEI_KAISUU">DATA!$D$1161</definedName>
    <definedName name="wskakunin_koutei03_KOUTEI_TEXT">DATA!$D$1163</definedName>
    <definedName name="wskakunin_koutei04_KOUTEI_DATE">DATA!$D$1167</definedName>
    <definedName name="wskakunin_koutei04_KOUTEI_KAISUU">DATA!$D$1166</definedName>
    <definedName name="wskakunin_koutei04_KOUTEI_TEXT">DATA!$D$1168</definedName>
    <definedName name="wskakunin_KOUZOU1">DATA!$D$1099</definedName>
    <definedName name="wskakunin_KOUZOU2">DATA!$D$1100</definedName>
    <definedName name="wskakunin_KUIKI_HISETTEI">DATA!$D$907</definedName>
    <definedName name="wskakunin_KUIKI_JYUN_TOSHI">DATA!$D$908</definedName>
    <definedName name="wskakunin_KUIKI_KUIKIGAI">DATA!$D$909</definedName>
    <definedName name="wskakunin_KUIKI_SIGAIKA">DATA!$D$904</definedName>
    <definedName name="wskakunin_KUIKI_TOSI">DATA!$D$901</definedName>
    <definedName name="wskakunin_KUIKI_TYOSEI">DATA!$D$906</definedName>
    <definedName name="wskakunin_kyoka01_">DATA!$D$1115</definedName>
    <definedName name="wskakunin_kyoka01_BIKOU">DATA!$D$1120</definedName>
    <definedName name="wskakunin_kyoka01_HOUREI">DATA!$D$1116</definedName>
    <definedName name="wskakunin_kyoka01_JOUKOU">DATA!$D$1117</definedName>
    <definedName name="wskakunin_kyoka01_KYOKA_DATE">DATA!$D$1119</definedName>
    <definedName name="wskakunin_kyoka01_KYOKA_NO">DATA!$D$1118</definedName>
    <definedName name="wskakunin_kyoka02_BIKOU">DATA!$D$1128</definedName>
    <definedName name="wskakunin_kyoka02_HOUREI">DATA!$D$1124</definedName>
    <definedName name="wskakunin_kyoka02_JOUKOU">DATA!$D$1125</definedName>
    <definedName name="wskakunin_kyoka02_KYOKA_DATE">DATA!$D$1127</definedName>
    <definedName name="wskakunin_kyoka02_KYOKA_NO">DATA!$D$1126</definedName>
    <definedName name="wskakunin_kyoka03_BIKOU">DATA!$D$1136</definedName>
    <definedName name="wskakunin_kyoka03_HOUREI">DATA!$D$1132</definedName>
    <definedName name="wskakunin_kyoka03_JOUKOU">DATA!$D$1133</definedName>
    <definedName name="wskakunin_kyoka03_KYOKA_DATE">DATA!$D$1135</definedName>
    <definedName name="wskakunin_kyoka03_KYOKA_NO">DATA!$D$1134</definedName>
    <definedName name="wskakunin_LAST_ISSUE_DATE">DATA!$D$56</definedName>
    <definedName name="wskakunin_LAST_ISSUE_NAME">DATA!$D$57</definedName>
    <definedName name="wskakunin_LAST_ISSUE_NO">DATA!$D$55</definedName>
    <definedName name="wskakunin_LIMIT_KENPEI_RITU">DATA!$D$952</definedName>
    <definedName name="wskakunin_LIMIT_YOUSEKI_RITU">DATA!$D$951</definedName>
    <definedName name="wskakunin_NOBE_MENSEKI">DATA!$D$1079</definedName>
    <definedName name="wskakunin_NOBE_MENSEKI_BITIKUSOUKO_IGAI">DATA!$D$1040</definedName>
    <definedName name="wskakunin_NOBE_MENSEKI_BITIKUSOUKO_SHINSEI">DATA!$D$1039</definedName>
    <definedName name="wskakunin_NOBE_MENSEKI_BITIKUSOUKO_TOTAL">DATA!$D$1041</definedName>
    <definedName name="wskakunin_NOBE_MENSEKI_BUILD_IGAI">DATA!$D$1010</definedName>
    <definedName name="wskakunin_NOBE_MENSEKI_BUILD_SHINSEI">DATA!$D$1009</definedName>
    <definedName name="wskakunin_NOBE_MENSEKI_BUILD_TOTAL">DATA!$D$1011</definedName>
    <definedName name="wskakunin_NOBE_MENSEKI_CHOSUISOU_IGAI">DATA!$D$1055</definedName>
    <definedName name="wskakunin_NOBE_MENSEKI_CHOSUISOU_SHINSEI">DATA!$D$1054</definedName>
    <definedName name="wskakunin_NOBE_MENSEKI_CHOSUISOU_TOTAL">DATA!$D$1056</definedName>
    <definedName name="wskakunin_NOBE_MENSEKI_FUSANNYU_IGAI">DATA!$D$1065</definedName>
    <definedName name="wskakunin_NOBE_MENSEKI_FUSANNYU_SHINSEI">DATA!$D$1064</definedName>
    <definedName name="wskakunin_NOBE_MENSEKI_FUSANNYU_TOTAL">DATA!$D$1066</definedName>
    <definedName name="wskakunin_NOBE_MENSEKI_JIKAHATUDEN_IGAI">DATA!$D$1050</definedName>
    <definedName name="wskakunin_NOBE_MENSEKI_JIKAHATUDEN_SHINSEI">DATA!$D$1049</definedName>
    <definedName name="wskakunin_NOBE_MENSEKI_JIKAHATUDEN_TOTAL">DATA!$D$1051</definedName>
    <definedName name="wskakunin_NOBE_MENSEKI_JYUTAKU_IGAI">DATA!$D$1070</definedName>
    <definedName name="wskakunin_NOBE_MENSEKI_JYUTAKU_SHINSEI">DATA!$D$1069</definedName>
    <definedName name="wskakunin_NOBE_MENSEKI_JYUTAKU_TOTAL">DATA!$D$1071</definedName>
    <definedName name="wskakunin_NOBE_MENSEKI_KIKAI_IGAI">DATA!$D$1030</definedName>
    <definedName name="wskakunin_NOBE_MENSEKI_KIKAI_SHINSEI">DATA!$D$1029</definedName>
    <definedName name="wskakunin_NOBE_MENSEKI_KIKAI_TOTAL">DATA!$D$1031</definedName>
    <definedName name="wskakunin_NOBE_MENSEKI_KYOYOU_IGAI">DATA!$D$1025</definedName>
    <definedName name="wskakunin_NOBE_MENSEKI_KYOYOU_SHINSEI">DATA!$D$1024</definedName>
    <definedName name="wskakunin_NOBE_MENSEKI_KYOYOU_TOTAL">DATA!$D$1026</definedName>
    <definedName name="wskakunin_NOBE_MENSEKI_ROUJIN_IGAI">DATA!$D$1075</definedName>
    <definedName name="wskakunin_NOBE_MENSEKI_ROUJIN_SHINSEI">DATA!$D$1074</definedName>
    <definedName name="wskakunin_NOBE_MENSEKI_ROUJIN_TOTAL">DATA!$D$1076</definedName>
    <definedName name="wskakunin_NOBE_MENSEKI_SYAKO_IGAI">DATA!$D$1035</definedName>
    <definedName name="wskakunin_NOBE_MENSEKI_SYAKO_SHINSEI">DATA!$D$1034</definedName>
    <definedName name="wskakunin_NOBE_MENSEKI_SYAKO_TOTAL">DATA!$D$1036</definedName>
    <definedName name="wskakunin_NOBE_MENSEKI_SYOUKOURO_IGAI">DATA!$D$1020</definedName>
    <definedName name="wskakunin_NOBE_MENSEKI_SYOUKOURO_SHINSEI">DATA!$D$1019</definedName>
    <definedName name="wskakunin_NOBE_MENSEKI_SYOUKOURO_TOTAL">DATA!$D$1021</definedName>
    <definedName name="wskakunin_NOBE_MENSEKI_TAKUHAI_IGAI">DATA!$D$1060</definedName>
    <definedName name="wskakunin_NOBE_MENSEKI_TAKUHAI_SHINSEI">DATA!$D$1059</definedName>
    <definedName name="wskakunin_NOBE_MENSEKI_TAKUHAI_TOTAL">DATA!$D$1061</definedName>
    <definedName name="wskakunin_NOBE_MENSEKI_TIKAI_IGAI">DATA!$D$1015</definedName>
    <definedName name="wskakunin_NOBE_MENSEKI_TIKAI_SHINSEI">DATA!$D$1014</definedName>
    <definedName name="wskakunin_NOBE_MENSEKI_TIKAI_TOTAL">DATA!$D$1016</definedName>
    <definedName name="wskakunin_NOBE_MENSEKI_TIKUDENTI_IGAI">DATA!$D$1045</definedName>
    <definedName name="wskakunin_NOBE_MENSEKI_TIKUDENTI_SHINSEI">DATA!$D$1044</definedName>
    <definedName name="wskakunin_NOBE_MENSEKI_TIKUDENTI_TOTAL">DATA!$D$1046</definedName>
    <definedName name="wskakunin_owner1__address">DATA!$D$81</definedName>
    <definedName name="wskakunin_owner1_JIMU_NAME">DATA!$D$71</definedName>
    <definedName name="wskakunin_owner1_JIMU_NAME_KANA">DATA!$D$72</definedName>
    <definedName name="wskakunin_owner1_NAME">DATA!$D$75</definedName>
    <definedName name="wskakunin_owner1_NAME_KANA">DATA!$D$76</definedName>
    <definedName name="wskakunin_owner1_POST">DATA!$D$73</definedName>
    <definedName name="wskakunin_owner1_POST_KANA">DATA!$D$74</definedName>
    <definedName name="wskakunin_owner1_TEL">DATA!$D$82</definedName>
    <definedName name="wskakunin_owner1_ZIP">DATA!$D$79</definedName>
    <definedName name="wskakunin_owner2__address">DATA!$D$96</definedName>
    <definedName name="wskakunin_owner2_JIMU_NAME">DATA!$D$89</definedName>
    <definedName name="wskakunin_owner2_JIMU_NAME_KANA">DATA!$D$90</definedName>
    <definedName name="wskakunin_owner2_NAME">DATA!$D$93</definedName>
    <definedName name="wskakunin_owner2_NAME_KANA">DATA!$D$94</definedName>
    <definedName name="wskakunin_owner2_POST">DATA!$D$91</definedName>
    <definedName name="wskakunin_owner2_POST_KANA">DATA!$D$92</definedName>
    <definedName name="wskakunin_owner2_TEL">DATA!$D$97</definedName>
    <definedName name="wskakunin_owner2_ZIP">DATA!$D$95</definedName>
    <definedName name="wskakunin_owner3__address">DATA!$D$110</definedName>
    <definedName name="wskakunin_owner3_JIMU_NAME">DATA!$D$103</definedName>
    <definedName name="wskakunin_owner3_JIMU_NAME_KANA">DATA!$D$104</definedName>
    <definedName name="wskakunin_owner3_NAME">DATA!$D$107</definedName>
    <definedName name="wskakunin_owner3_NAME_KANA">DATA!$D$108</definedName>
    <definedName name="wskakunin_owner3_POST">DATA!$D$105</definedName>
    <definedName name="wskakunin_owner3_POST_KANA">DATA!$D$106</definedName>
    <definedName name="wskakunin_owner3_TEL">DATA!$D$111</definedName>
    <definedName name="wskakunin_owner3_ZIP">DATA!$D$109</definedName>
    <definedName name="wskakunin_owner4__address">DATA!$D$122</definedName>
    <definedName name="wskakunin_owner4_JIMU_NAME">DATA!$D$115</definedName>
    <definedName name="wskakunin_owner4_JIMU_NAME_KANA">DATA!$D$116</definedName>
    <definedName name="wskakunin_owner4_NAME">DATA!$D$119</definedName>
    <definedName name="wskakunin_owner4_NAME_KANA">DATA!$D$120</definedName>
    <definedName name="wskakunin_owner4_POST">DATA!$D$117</definedName>
    <definedName name="wskakunin_owner4_POST_KANA">DATA!$D$118</definedName>
    <definedName name="wskakunin_owner4_TEL">DATA!$D$123</definedName>
    <definedName name="wskakunin_owner4_ZIP">DATA!$D$121</definedName>
    <definedName name="wskakunin_owner5__address">DATA!$D$134</definedName>
    <definedName name="wskakunin_owner5_JIMU_NAME">DATA!$D$127</definedName>
    <definedName name="wskakunin_owner5_JIMU_NAME_KANA">DATA!$D$128</definedName>
    <definedName name="wskakunin_owner5_NAME">DATA!$D$131</definedName>
    <definedName name="wskakunin_owner5_NAME_KANA">DATA!$D$132</definedName>
    <definedName name="wskakunin_owner5_POST">DATA!$D$129</definedName>
    <definedName name="wskakunin_owner5_POST_KANA">DATA!$D$130</definedName>
    <definedName name="wskakunin_owner5_TEL">DATA!$D$135</definedName>
    <definedName name="wskakunin_owner5_ZIP">DATA!$D$133</definedName>
    <definedName name="wskakunin_owner6__address">DATA!$D$146</definedName>
    <definedName name="wskakunin_owner6_JIMU_NAME">DATA!$D$139</definedName>
    <definedName name="wskakunin_owner6_JIMU_NAME_KANA">DATA!$D$140</definedName>
    <definedName name="wskakunin_owner6_NAME">DATA!$D$143</definedName>
    <definedName name="wskakunin_owner6_NAME_KANA">DATA!$D$144</definedName>
    <definedName name="wskakunin_owner6_POST">DATA!$D$141</definedName>
    <definedName name="wskakunin_owner6_POST_KANA">DATA!$D$142</definedName>
    <definedName name="wskakunin_owner6_TEL">DATA!$D$147</definedName>
    <definedName name="wskakunin_owner6_ZIP">DATA!$D$145</definedName>
    <definedName name="wskakunin_owner7__address">DATA!$D$158</definedName>
    <definedName name="wskakunin_owner7_JIMU_NAME">DATA!$D$151</definedName>
    <definedName name="wskakunin_owner7_JIMU_NAME_KANA">DATA!$D$152</definedName>
    <definedName name="wskakunin_owner7_NAME">DATA!$D$155</definedName>
    <definedName name="wskakunin_owner7_NAME_KANA">DATA!$D$156</definedName>
    <definedName name="wskakunin_owner7_POST">DATA!$D$153</definedName>
    <definedName name="wskakunin_owner7_POST_KANA">DATA!$D$154</definedName>
    <definedName name="wskakunin_owner7_TEL">DATA!$D$159</definedName>
    <definedName name="wskakunin_owner7_ZIP">DATA!$D$157</definedName>
    <definedName name="wskakunin_owner8__address">DATA!$D$169</definedName>
    <definedName name="wskakunin_owner8_JIMU_NAME">DATA!$D$162</definedName>
    <definedName name="wskakunin_owner8_JIMU_NAME_KANA">DATA!$D$163</definedName>
    <definedName name="wskakunin_owner8_NAME">DATA!$D$166</definedName>
    <definedName name="wskakunin_owner8_NAME_KANA">DATA!$D$167</definedName>
    <definedName name="wskakunin_owner8_POST">DATA!$D$164</definedName>
    <definedName name="wskakunin_owner8_POST_KANA">DATA!$D$165</definedName>
    <definedName name="wskakunin_owner8_TEL">DATA!$D$170</definedName>
    <definedName name="wskakunin_owner8_ZIP">DATA!$D$168</definedName>
    <definedName name="wskakunin_owner9__address">DATA!$D$180</definedName>
    <definedName name="wskakunin_owner9_JIMU_NAME">DATA!$D$173</definedName>
    <definedName name="wskakunin_owner9_JIMU_NAME_KANA">DATA!$D$174</definedName>
    <definedName name="wskakunin_owner9_NAME">DATA!$D$177</definedName>
    <definedName name="wskakunin_owner9_NAME_KANA">DATA!$D$178</definedName>
    <definedName name="wskakunin_owner9_POST">DATA!$D$175</definedName>
    <definedName name="wskakunin_owner9_POST_KANA">DATA!$D$176</definedName>
    <definedName name="wskakunin_owner9_TEL">DATA!$D$181</definedName>
    <definedName name="wskakunin_owner9_ZIP">DATA!$D$179</definedName>
    <definedName name="wskakunin_P1_HENKOU_GAIYOU">DATA!$D$58</definedName>
    <definedName name="wskakunin_P2_BIKOU">DATA!$D$830</definedName>
    <definedName name="wskakunin_P3_BIKOU">DATA!$D$1179</definedName>
    <definedName name="wskakunin_P3_SONOTA">DATA!$D$1177</definedName>
    <definedName name="wskakunin_p4_1__kouji">DATA!$D$871</definedName>
    <definedName name="wskakunin_p4_1_KAISU_TIKAI">DATA!$D$873</definedName>
    <definedName name="wskakunin_p4_1_KAISU_TIKAI_NOZOKU">DATA!$D$872</definedName>
    <definedName name="wskakunin_p4_1_KOUZOU1">DATA!$D$874</definedName>
    <definedName name="wskakunin_p4_1_KOUZOU2">DATA!$D$875</definedName>
    <definedName name="wskakunin_p4_1_TAKASA_KEN_MAX">DATA!$D$877</definedName>
    <definedName name="wskakunin_p4_1_TAKASA_MAX">DATA!$D$876</definedName>
    <definedName name="wskakunin_p4_1_youto1_YOUTO">DATA!$D$862</definedName>
    <definedName name="wskakunin_p4_1_youto1_YOUTO_CODE">DATA!$D$863</definedName>
    <definedName name="wskakunin_p4_1_YUKA_MENSEKI_SHINSEI">DATA!$D$878</definedName>
    <definedName name="wskakunin_p4_2_KAISU_TIKAI">DATA!$D$881</definedName>
    <definedName name="wskakunin_p4_2_KAISU_TIKAI_NOZOKU">DATA!$D$880</definedName>
    <definedName name="wskakunin_p4_2_YUKA_MENSEKI_SHINSEI">DATA!$D$882</definedName>
    <definedName name="wskakunin_p4_3_KAISU_TIKAI">DATA!$D$885</definedName>
    <definedName name="wskakunin_p4_3_KAISU_TIKAI_NOZOKU">DATA!$D$884</definedName>
    <definedName name="wskakunin_p4_3_YUKA_MENSEKI_SHINSEI">DATA!$D$886</definedName>
    <definedName name="wskakunin_PAGE1_ALTERATION_NOTE">DATA!$D$65</definedName>
    <definedName name="wskakunin_sekkei1__address">DATA!$D$286</definedName>
    <definedName name="wskakunin_sekkei1__sikaku">DATA!$D$274</definedName>
    <definedName name="wskakunin_sekkei1_DOC">DATA!$D$288</definedName>
    <definedName name="wskakunin_sekkei1_JIMU__sikaku">DATA!$D$279</definedName>
    <definedName name="wskakunin_sekkei1_JIMU_NAME">DATA!$D$283</definedName>
    <definedName name="wskakunin_sekkei1_JIMU_NO">DATA!$D$282</definedName>
    <definedName name="wskakunin_sekkei1_JIMU_SIKAKU__label">DATA!$D$280</definedName>
    <definedName name="wskakunin_sekkei1_JIMU_TOUROKU_KIKAN__label">DATA!$D$281</definedName>
    <definedName name="wskakunin_sekkei1_KENTIKUSI_NO">DATA!$D$277</definedName>
    <definedName name="wskakunin_sekkei1_NAME">DATA!$D$278</definedName>
    <definedName name="wskakunin_sekkei1_SIKAKU__label">DATA!$D$275</definedName>
    <definedName name="wskakunin_sekkei1_TEL">DATA!$D$287</definedName>
    <definedName name="wskakunin_sekkei1_TOUROKU_KIKAN__label">DATA!$D$276</definedName>
    <definedName name="wskakunin_sekkei1_ZIP">DATA!$D$285</definedName>
    <definedName name="wskakunin_sekkei10__address">DATA!$D$439</definedName>
    <definedName name="wskakunin_sekkei10__sikaku">DATA!$D$427</definedName>
    <definedName name="wskakunin_sekkei10_DOC">DATA!$D$441</definedName>
    <definedName name="wskakunin_sekkei10_JIMU__sikaku">DATA!$D$432</definedName>
    <definedName name="wskakunin_sekkei10_JIMU_NAME">DATA!$D$436</definedName>
    <definedName name="wskakunin_sekkei10_JIMU_NO">DATA!$D$435</definedName>
    <definedName name="wskakunin_sekkei10_JIMU_SIKAKU__label">DATA!$D$433</definedName>
    <definedName name="wskakunin_sekkei10_JIMU_TOUROKU_KIKAN__label">DATA!$D$434</definedName>
    <definedName name="wskakunin_sekkei10_KENTIKUSI_NO">DATA!$D$430</definedName>
    <definedName name="wskakunin_sekkei10_NAME">DATA!$D$431</definedName>
    <definedName name="wskakunin_sekkei10_SIKAKU__label">DATA!$D$428</definedName>
    <definedName name="wskakunin_sekkei10_TEL">DATA!$D$440</definedName>
    <definedName name="wskakunin_sekkei10_TOUROKU_KIKAN__label">DATA!$D$429</definedName>
    <definedName name="wskakunin_sekkei10_ZIP">DATA!$D$438</definedName>
    <definedName name="wskakunin_sekkei11__address">DATA!$D$456</definedName>
    <definedName name="wskakunin_sekkei11__sikaku">DATA!$D$444</definedName>
    <definedName name="wskakunin_sekkei11_DOC">DATA!$D$458</definedName>
    <definedName name="wskakunin_sekkei11_JIMU__sikaku">DATA!$D$449</definedName>
    <definedName name="wskakunin_sekkei11_JIMU_NAME">DATA!$D$453</definedName>
    <definedName name="wskakunin_sekkei11_JIMU_NO">DATA!$D$452</definedName>
    <definedName name="wskakunin_sekkei11_JIMU_SIKAKU__label">DATA!$D$450</definedName>
    <definedName name="wskakunin_sekkei11_JIMU_TOUROKU_KIKAN__label">DATA!$D$451</definedName>
    <definedName name="wskakunin_sekkei11_KENTIKUSI_NO">DATA!$D$447</definedName>
    <definedName name="wskakunin_sekkei11_NAME">DATA!$D$448</definedName>
    <definedName name="wskakunin_sekkei11_SIKAKU__label">DATA!$D$445</definedName>
    <definedName name="wskakunin_sekkei11_TEL">DATA!$D$457</definedName>
    <definedName name="wskakunin_sekkei11_TOUROKU_KIKAN__label">DATA!$D$446</definedName>
    <definedName name="wskakunin_sekkei11_ZIP">DATA!$D$455</definedName>
    <definedName name="wskakunin_sekkei12__address">DATA!$D$473</definedName>
    <definedName name="wskakunin_sekkei12__sikaku">DATA!$D$461</definedName>
    <definedName name="wskakunin_sekkei12_DOC">DATA!$D$475</definedName>
    <definedName name="wskakunin_sekkei12_JIMU__sikaku">DATA!$D$466</definedName>
    <definedName name="wskakunin_sekkei12_JIMU_NAME">DATA!$D$470</definedName>
    <definedName name="wskakunin_sekkei12_JIMU_NO">DATA!$D$469</definedName>
    <definedName name="wskakunin_sekkei12_JIMU_SIKAKU__label">DATA!$D$467</definedName>
    <definedName name="wskakunin_sekkei12_JIMU_TOUROKU_KIKAN__label">DATA!$D$468</definedName>
    <definedName name="wskakunin_sekkei12_KENTIKUSI_NO">DATA!$D$464</definedName>
    <definedName name="wskakunin_sekkei12_NAME">DATA!$D$465</definedName>
    <definedName name="wskakunin_sekkei12_SIKAKU__label">DATA!$D$462</definedName>
    <definedName name="wskakunin_sekkei12_TEL">DATA!$D$474</definedName>
    <definedName name="wskakunin_sekkei12_TOUROKU_KIKAN__label">DATA!$D$463</definedName>
    <definedName name="wskakunin_sekkei12_ZIP">DATA!$D$472</definedName>
    <definedName name="wskakunin_sekkei2__address">DATA!$D$303</definedName>
    <definedName name="wskakunin_sekkei2__sikaku">DATA!$D$291</definedName>
    <definedName name="wskakunin_sekkei2_DOC">DATA!$D$305</definedName>
    <definedName name="wskakunin_sekkei2_JIMU__sikaku">DATA!$D$296</definedName>
    <definedName name="wskakunin_sekkei2_JIMU_NAME">DATA!$D$300</definedName>
    <definedName name="wskakunin_sekkei2_JIMU_NO">DATA!$D$299</definedName>
    <definedName name="wskakunin_sekkei2_JIMU_SIKAKU__label">DATA!$D$297</definedName>
    <definedName name="wskakunin_sekkei2_JIMU_TOUROKU_KIKAN__label">DATA!$D$298</definedName>
    <definedName name="wskakunin_sekkei2_KENTIKUSI_NO">DATA!$D$294</definedName>
    <definedName name="wskakunin_sekkei2_NAME">DATA!$D$295</definedName>
    <definedName name="wskakunin_sekkei2_SIKAKU__label">DATA!$D$292</definedName>
    <definedName name="wskakunin_sekkei2_TEL">DATA!$D$304</definedName>
    <definedName name="wskakunin_sekkei2_TOUROKU_KIKAN__label">DATA!$D$293</definedName>
    <definedName name="wskakunin_sekkei2_ZIP">DATA!$D$302</definedName>
    <definedName name="wskakunin_sekkei3__address">DATA!$D$320</definedName>
    <definedName name="wskakunin_sekkei3__sikaku">DATA!$D$308</definedName>
    <definedName name="wskakunin_sekkei3_DOC">DATA!$D$322</definedName>
    <definedName name="wskakunin_sekkei3_JIMU__sikaku">DATA!$D$313</definedName>
    <definedName name="wskakunin_sekkei3_JIMU_NAME">DATA!$D$317</definedName>
    <definedName name="wskakunin_sekkei3_JIMU_NO">DATA!$D$316</definedName>
    <definedName name="wskakunin_sekkei3_JIMU_SIKAKU__label">DATA!$D$314</definedName>
    <definedName name="wskakunin_sekkei3_JIMU_TOUROKU_KIKAN__label">DATA!$D$315</definedName>
    <definedName name="wskakunin_sekkei3_KENTIKUSI_NO">DATA!$D$311</definedName>
    <definedName name="wskakunin_sekkei3_NAME">DATA!$D$312</definedName>
    <definedName name="wskakunin_sekkei3_SIKAKU__label">DATA!$D$309</definedName>
    <definedName name="wskakunin_sekkei3_TEL">DATA!$D$321</definedName>
    <definedName name="wskakunin_sekkei3_TOUROKU_KIKAN__label">DATA!$D$310</definedName>
    <definedName name="wskakunin_sekkei3_ZIP">DATA!$D$319</definedName>
    <definedName name="wskakunin_sekkei4__address">DATA!$D$337</definedName>
    <definedName name="wskakunin_sekkei4__sikaku">DATA!$D$325</definedName>
    <definedName name="wskakunin_sekkei4_DOC">DATA!$D$339</definedName>
    <definedName name="wskakunin_sekkei4_JIMU__sikaku">DATA!$D$330</definedName>
    <definedName name="wskakunin_sekkei4_JIMU_NAME">DATA!$D$334</definedName>
    <definedName name="wskakunin_sekkei4_JIMU_NO">DATA!$D$333</definedName>
    <definedName name="wskakunin_sekkei4_JIMU_SIKAKU__label">DATA!$D$331</definedName>
    <definedName name="wskakunin_sekkei4_JIMU_TOUROKU_KIKAN__label">DATA!$D$332</definedName>
    <definedName name="wskakunin_sekkei4_KENTIKUSI_NO">DATA!$D$328</definedName>
    <definedName name="wskakunin_sekkei4_NAME">DATA!$D$329</definedName>
    <definedName name="wskakunin_sekkei4_SIKAKU__label">DATA!$D$326</definedName>
    <definedName name="wskakunin_sekkei4_TEL">DATA!$D$338</definedName>
    <definedName name="wskakunin_sekkei4_TOUROKU_KIKAN__label">DATA!$D$327</definedName>
    <definedName name="wskakunin_sekkei4_ZIP">DATA!$D$336</definedName>
    <definedName name="wskakunin_sekkei5__address">DATA!$D$354</definedName>
    <definedName name="wskakunin_sekkei5__sikaku">DATA!$D$342</definedName>
    <definedName name="wskakunin_sekkei5_DOC">DATA!$D$356</definedName>
    <definedName name="wskakunin_sekkei5_JIMU__sikaku">DATA!$D$347</definedName>
    <definedName name="wskakunin_sekkei5_JIMU_NAME">DATA!$D$351</definedName>
    <definedName name="wskakunin_sekkei5_JIMU_NO">DATA!$D$350</definedName>
    <definedName name="wskakunin_sekkei5_JIMU_SIKAKU__label">DATA!$D$348</definedName>
    <definedName name="wskakunin_sekkei5_JIMU_TOUROKU_KIKAN__label">DATA!$D$349</definedName>
    <definedName name="wskakunin_sekkei5_KENTIKUSI_NO">DATA!$D$345</definedName>
    <definedName name="wskakunin_sekkei5_NAME">DATA!$D$346</definedName>
    <definedName name="wskakunin_sekkei5_SIKAKU__label">DATA!$D$343</definedName>
    <definedName name="wskakunin_sekkei5_TEL">DATA!$D$355</definedName>
    <definedName name="wskakunin_sekkei5_TOUROKU_KIKAN__label">DATA!$D$344</definedName>
    <definedName name="wskakunin_sekkei5_ZIP">DATA!$D$353</definedName>
    <definedName name="wskakunin_sekkei6__address">DATA!$D$371</definedName>
    <definedName name="wskakunin_sekkei6__sikaku">DATA!$D$359</definedName>
    <definedName name="wskakunin_sekkei6_DOC">DATA!$D$373</definedName>
    <definedName name="wskakunin_sekkei6_JIMU__sikaku">DATA!$D$364</definedName>
    <definedName name="wskakunin_sekkei6_JIMU_NAME">DATA!$D$368</definedName>
    <definedName name="wskakunin_sekkei6_JIMU_NO">DATA!$D$367</definedName>
    <definedName name="wskakunin_sekkei6_JIMU_SIKAKU__label">DATA!$D$365</definedName>
    <definedName name="wskakunin_sekkei6_JIMU_TOUROKU_KIKAN__label">DATA!$D$366</definedName>
    <definedName name="wskakunin_sekkei6_KENTIKUSI_NO">DATA!$D$362</definedName>
    <definedName name="wskakunin_sekkei6_NAME">DATA!$D$363</definedName>
    <definedName name="wskakunin_sekkei6_SIKAKU__label">DATA!$D$360</definedName>
    <definedName name="wskakunin_sekkei6_TEL">DATA!$D$372</definedName>
    <definedName name="wskakunin_sekkei6_TOUROKU_KIKAN__label">DATA!$D$361</definedName>
    <definedName name="wskakunin_sekkei6_ZIP">DATA!$D$370</definedName>
    <definedName name="wskakunin_sekkei7__address">DATA!$D$388</definedName>
    <definedName name="wskakunin_sekkei7__sikaku">DATA!$D$376</definedName>
    <definedName name="wskakunin_sekkei7_DOC">DATA!$D$390</definedName>
    <definedName name="wskakunin_sekkei7_JIMU__sikaku">DATA!$D$381</definedName>
    <definedName name="wskakunin_sekkei7_JIMU_NAME">DATA!$D$385</definedName>
    <definedName name="wskakunin_sekkei7_JIMU_NO">DATA!$D$384</definedName>
    <definedName name="wskakunin_sekkei7_JIMU_SIKAKU__label">DATA!$D$382</definedName>
    <definedName name="wskakunin_sekkei7_JIMU_TOUROKU_KIKAN__label">DATA!$D$383</definedName>
    <definedName name="wskakunin_sekkei7_KENTIKUSI_NO">DATA!$D$379</definedName>
    <definedName name="wskakunin_sekkei7_NAME">DATA!$D$380</definedName>
    <definedName name="wskakunin_sekkei7_SIKAKU__label">DATA!$D$377</definedName>
    <definedName name="wskakunin_sekkei7_TEL">DATA!$D$389</definedName>
    <definedName name="wskakunin_sekkei7_TOUROKU_KIKAN__label">DATA!$D$378</definedName>
    <definedName name="wskakunin_sekkei7_ZIP">DATA!$D$387</definedName>
    <definedName name="wskakunin_sekkei8__address">DATA!$D$405</definedName>
    <definedName name="wskakunin_sekkei8__sikaku">DATA!$D$393</definedName>
    <definedName name="wskakunin_sekkei8_DOC">DATA!$D$407</definedName>
    <definedName name="wskakunin_sekkei8_JIMU__sikaku">DATA!$D$398</definedName>
    <definedName name="wskakunin_sekkei8_JIMU_NAME">DATA!$D$402</definedName>
    <definedName name="wskakunin_sekkei8_JIMU_NO">DATA!$D$401</definedName>
    <definedName name="wskakunin_sekkei8_JIMU_SIKAKU__label">DATA!$D$399</definedName>
    <definedName name="wskakunin_sekkei8_JIMU_TOUROKU_KIKAN__label">DATA!$D$400</definedName>
    <definedName name="wskakunin_sekkei8_KENTIKUSI_NO">DATA!$D$396</definedName>
    <definedName name="wskakunin_sekkei8_NAME">DATA!$D$397</definedName>
    <definedName name="wskakunin_sekkei8_SIKAKU__label">DATA!$D$394</definedName>
    <definedName name="wskakunin_sekkei8_TEL">DATA!$D$406</definedName>
    <definedName name="wskakunin_sekkei8_TOUROKU_KIKAN__label">DATA!$D$395</definedName>
    <definedName name="wskakunin_sekkei8_ZIP">DATA!$D$404</definedName>
    <definedName name="wskakunin_sekkei9__address">DATA!$D$422</definedName>
    <definedName name="wskakunin_sekkei9__sikaku">DATA!$D$410</definedName>
    <definedName name="wskakunin_sekkei9_DOC">DATA!$D$424</definedName>
    <definedName name="wskakunin_sekkei9_JIMU__sikaku">DATA!$D$415</definedName>
    <definedName name="wskakunin_sekkei9_JIMU_NAME">DATA!$D$419</definedName>
    <definedName name="wskakunin_sekkei9_JIMU_NO">DATA!$D$418</definedName>
    <definedName name="wskakunin_sekkei9_JIMU_SIKAKU__label">DATA!$D$416</definedName>
    <definedName name="wskakunin_sekkei9_JIMU_TOUROKU_KIKAN__label">DATA!$D$417</definedName>
    <definedName name="wskakunin_sekkei9_KENTIKUSI_NO">DATA!$D$413</definedName>
    <definedName name="wskakunin_sekkei9_NAME">DATA!$D$414</definedName>
    <definedName name="wskakunin_sekkei9_SIKAKU__label">DATA!$D$411</definedName>
    <definedName name="wskakunin_sekkei9_TEL">DATA!$D$423</definedName>
    <definedName name="wskakunin_sekkei9_TOUROKU_KIKAN__label">DATA!$D$412</definedName>
    <definedName name="wskakunin_sekkei9_ZIP">DATA!$D$421</definedName>
    <definedName name="wskakunin_sekou1__address">DATA!$D$771</definedName>
    <definedName name="wskakunin_sekou1_JIMU_NAME">DATA!$D$769</definedName>
    <definedName name="wskakunin_sekou1_NAME">DATA!$D$765</definedName>
    <definedName name="wskakunin_sekou1_SEKOU__sikaku">DATA!$D$766</definedName>
    <definedName name="wskakunin_sekou1_SEKOU_NO">DATA!$D$768</definedName>
    <definedName name="wskakunin_sekou1_SEKOU_SIKAKU__label">DATA!$D$767</definedName>
    <definedName name="wskakunin_sekou1_TEL">DATA!$D$772</definedName>
    <definedName name="wskakunin_sekou1_ZIP">DATA!$D$770</definedName>
    <definedName name="wskakunin_sekou2__address">DATA!$D$781</definedName>
    <definedName name="wskakunin_sekou2_JIMU_NAME">DATA!$D$779</definedName>
    <definedName name="wskakunin_sekou2_NAME">DATA!$D$775</definedName>
    <definedName name="wskakunin_sekou2_SEKOU__sikaku">DATA!$D$776</definedName>
    <definedName name="wskakunin_sekou2_SEKOU_NO">DATA!$D$778</definedName>
    <definedName name="wskakunin_sekou2_SEKOU_SIKAKU__label">DATA!$D$777</definedName>
    <definedName name="wskakunin_sekou2_TEL">DATA!$D$782</definedName>
    <definedName name="wskakunin_sekou2_ZIP">DATA!$D$780</definedName>
    <definedName name="wskakunin_sekou3__address">DATA!$D$791</definedName>
    <definedName name="wskakunin_sekou3_JIMU_NAME">DATA!$D$789</definedName>
    <definedName name="wskakunin_sekou3_NAME">DATA!$D$785</definedName>
    <definedName name="wskakunin_sekou3_SEKOU__sikaku">DATA!$D$786</definedName>
    <definedName name="wskakunin_sekou3_SEKOU_NO">DATA!$D$788</definedName>
    <definedName name="wskakunin_sekou3_SEKOU_SIKAKU__label">DATA!$D$787</definedName>
    <definedName name="wskakunin_sekou3_TEL">DATA!$D$792</definedName>
    <definedName name="wskakunin_sekou3_ZIP">DATA!$D$790</definedName>
    <definedName name="wskakunin_sekou4__address">DATA!$D$801</definedName>
    <definedName name="wskakunin_sekou4_JIMU_NAME">DATA!$D$799</definedName>
    <definedName name="wskakunin_sekou4_NAME">DATA!$D$795</definedName>
    <definedName name="wskakunin_sekou4_SEKOU__sikaku">DATA!$D$796</definedName>
    <definedName name="wskakunin_sekou4_SEKOU_NO">DATA!$D$798</definedName>
    <definedName name="wskakunin_sekou4_SEKOU_SIKAKU__label">DATA!$D$797</definedName>
    <definedName name="wskakunin_sekou4_TEL">DATA!$D$802</definedName>
    <definedName name="wskakunin_sekou4_ZIP">DATA!$D$800</definedName>
    <definedName name="wskakunin_sekou5__address">DATA!$D$811</definedName>
    <definedName name="wskakunin_sekou5_JIMU_NAME">DATA!$D$809</definedName>
    <definedName name="wskakunin_sekou5_NAME">DATA!$D$805</definedName>
    <definedName name="wskakunin_sekou5_SEKOU__sikaku">DATA!$D$806</definedName>
    <definedName name="wskakunin_sekou5_SEKOU_NO">DATA!$D$808</definedName>
    <definedName name="wskakunin_sekou5_SEKOU_SIKAKU__label">DATA!$D$807</definedName>
    <definedName name="wskakunin_sekou5_TEL">DATA!$D$812</definedName>
    <definedName name="wskakunin_sekou5_ZIP">DATA!$D$810</definedName>
    <definedName name="wskakunin_sekou6__address">DATA!$D$821</definedName>
    <definedName name="wskakunin_sekou6_JIMU_NAME">DATA!$D$819</definedName>
    <definedName name="wskakunin_sekou6_NAME">DATA!$D$815</definedName>
    <definedName name="wskakunin_sekou6_SEKOU__sikaku">DATA!$D$816</definedName>
    <definedName name="wskakunin_sekou6_SEKOU_NO">DATA!$D$818</definedName>
    <definedName name="wskakunin_sekou6_SEKOU_SIKAKU__label">DATA!$D$817</definedName>
    <definedName name="wskakunin_sekou6_TEL">DATA!$D$822</definedName>
    <definedName name="wskakunin_sekou6_ZIP">DATA!$D$820</definedName>
    <definedName name="wskakunin_SHIKITI_MENSEKI_1_TOTAL">DATA!$D$949</definedName>
    <definedName name="wskakunin_SHIKITI_MENSEKI_1A">DATA!$D$925</definedName>
    <definedName name="wskakunin_SHIKITI_MENSEKI_1B">DATA!$D$926</definedName>
    <definedName name="wskakunin_SHIKITI_MENSEKI_1C">DATA!$D$927</definedName>
    <definedName name="wskakunin_SHIKITI_MENSEKI_1D">DATA!$D$928</definedName>
    <definedName name="wskakunin_SHIKITI_MENSEKI_2_TOTAL">DATA!$D$950</definedName>
    <definedName name="wskakunin_SHIKITI_MENSEKI_2A">DATA!$D$929</definedName>
    <definedName name="wskakunin_SHIKITI_MENSEKI_2B">DATA!$D$930</definedName>
    <definedName name="wskakunin_SHIKITI_MENSEKI_2C">DATA!$D$931</definedName>
    <definedName name="wskakunin_SHIKITI_MENSEKI_2D">DATA!$D$932</definedName>
    <definedName name="wskakunin_SHIKITI_MENSEKI_BIKOU">DATA!$D$953</definedName>
    <definedName name="wskakunin_SHINSEI_DATE">DATA!$D$53</definedName>
    <definedName name="wskakunin_SONOTA_KUIKI">DATA!$D$917</definedName>
    <definedName name="wskakunin_TAKASA_MAX_SHINSEI">DATA!$D$1090</definedName>
    <definedName name="wskakunin_TAKASA_MAX_SONOTA">DATA!$D$1091</definedName>
    <definedName name="wskakunin_tekihan01_TEKIHAN_KIKAN_ADDRESS">DATA!$D$840</definedName>
    <definedName name="wskakunin_tekihan01_TEKIHAN_KIKAN_KEN__ken">DATA!$D$839</definedName>
    <definedName name="wskakunin_tekihan01_TEKIHAN_KIKAN_NAME">DATA!$D$838</definedName>
    <definedName name="wskakunin_tekihan01_TEKIHAN_STATE">DATA!$D$834</definedName>
    <definedName name="wskakunin_tekihan02_TEKIHAN_KIKAN_ADDRESS">DATA!$D$844</definedName>
    <definedName name="wskakunin_tekihan02_TEKIHAN_KIKAN_KEN__ken">DATA!$D$843</definedName>
    <definedName name="wskakunin_tekihan02_TEKIHAN_KIKAN_NAME">DATA!$D$842</definedName>
    <definedName name="wskakunin_TOKUREI_1">DATA!$D$1187</definedName>
    <definedName name="wskakunin_TOKUREI_2">DATA!$D$1188</definedName>
    <definedName name="wskakunin_TOKUREI_3">DATA!$D$1189</definedName>
    <definedName name="wskakunin_TOKUREI_4">DATA!$D$1190</definedName>
    <definedName name="wskakunin_TOKUREI_TAKASA">DATA!$D$1105</definedName>
    <definedName name="wskakunin_TOKUREI_TAKASA_DOURO">DATA!$D$1110</definedName>
    <definedName name="wskakunin_TOKUREI_TAKASA_KITA">DATA!$D$1112</definedName>
    <definedName name="wskakunin_TOKUREI_TAKASA_RINTI">DATA!$D$1111</definedName>
    <definedName name="wskakunin_TOKUTEI_KOUJI_KANRYOU_DATE">DATA!$D$1202</definedName>
    <definedName name="wskakunin_TOKUTEI_KOUTEI">DATA!$D$1199</definedName>
    <definedName name="wskakunin_YOUSEKI_RITU">DATA!$D$1082</definedName>
    <definedName name="wskakunin_YOUSEKI_RITU_A">DATA!$D$939</definedName>
    <definedName name="wskakunin_YOUSEKI_RITU_B">DATA!$D$940</definedName>
    <definedName name="wskakunin_YOUSEKI_RITU_C">DATA!$D$941</definedName>
    <definedName name="wskakunin_YOUSEKI_RITU_D">DATA!$D$942</definedName>
    <definedName name="wskakunin_YOUTO">DATA!$D$956</definedName>
    <definedName name="wskakunin_YOUTO_CODE">DATA!$D$955</definedName>
    <definedName name="wskakunin_YOUTO_TIIKI_A">DATA!$D$934</definedName>
    <definedName name="wskakunin_YOUTO_TIIKI_B">DATA!$D$935</definedName>
    <definedName name="wskakunin_YOUTO_TIIKI_C">DATA!$D$936</definedName>
    <definedName name="wskakunin_YOUTO_TIIKI_D">DATA!$D$937</definedName>
    <definedName name="wskakuninKOUJI_SETUBI">DATA!$D$967</definedName>
    <definedName name="Z_D83ABAE7_1F4C_4C77_8E04_C5172671ED17_.wvu.Rows" localSheetId="2">DATA!$864:$870</definedName>
    <definedName name="しろくろ">リスト!$I$1:$I$2</definedName>
    <definedName name="チェック">リスト!$P$1:$P$2</definedName>
    <definedName name="はんとく">リスト!$F$1:$F$3</definedName>
    <definedName name="一級">項目リスト!$A$3</definedName>
    <definedName name="外壁後退">リスト!$K$1:$K$5</definedName>
    <definedName name="確変">リスト!$S$1:$S$2</definedName>
    <definedName name="居住専用番号">リスト!$Q$1:$Q$5</definedName>
    <definedName name="許可">リスト!$M$1:$M$20</definedName>
    <definedName name="許可区分">リスト!$D$1:$D$4</definedName>
    <definedName name="近隣商業地域">項目リスト!$L$3:$L$8</definedName>
    <definedName name="近隣商業地域建ぺい率">項目リスト!$Y$3:$Y$4</definedName>
    <definedName name="月">リスト!$H$1:$H$13</definedName>
    <definedName name="建ぺい率">項目リスト!$R$2:$AD$2</definedName>
    <definedName name="建昇工">リスト!$T$1:$T$3</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構造コード_2410">項目リスト!$AU$3:$AU$8</definedName>
    <definedName name="工事届用構造区分_2410">項目リスト!$AU$3:$AV$8</definedName>
    <definedName name="工事届用主要用途">項目リスト!$AO$3:$AO$7</definedName>
    <definedName name="工事届用主要用途_2410">項目リスト!$AQ$3:$AQ$34</definedName>
    <definedName name="工事届用主要用途2">項目リスト!$AO$8:$AO$44</definedName>
    <definedName name="工事届用主要用途区分">項目リスト!$AO$3:$AP$44</definedName>
    <definedName name="工事届用主要用途区分_2410">項目リスト!$AQ$3:$AR$34</definedName>
    <definedName name="工事届用用途コード_2410">項目リスト!$AS$3:$AS$74</definedName>
    <definedName name="工事届用用途区分_2410">項目リスト!$AS$3:$AT$74</definedName>
    <definedName name="構造">項目リスト!$AF$3:$AF$8</definedName>
    <definedName name="号">リスト!$U$1:$U$2</definedName>
    <definedName name="産業番号">リスト!$R$1:$R$37</definedName>
    <definedName name="指定なし">項目リスト!$Q$3:$Q$8</definedName>
    <definedName name="指定なし建ぺい率">項目リスト!$AD$3:$AD$7</definedName>
    <definedName name="施工者">項目リスト!$D$3:$D$51</definedName>
    <definedName name="資格">リスト!$A$2:$A$5</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図書">リスト!$C$1:$C$6</definedName>
    <definedName name="数字">リスト!$G$1:$G$32</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都道府県">リスト!$B$1:$B$3</definedName>
    <definedName name="特定工程">リスト!$N$1:$N$12</definedName>
    <definedName name="二級">項目リスト!$B$3:$B$49</definedName>
    <definedName name="年度">リスト!$E$1:$E$22</definedName>
    <definedName name="便所">項目リスト!$AN$3:$AN$5</definedName>
    <definedName name="面積">リスト!$J$1:$J$4</definedName>
    <definedName name="木造">項目リスト!$C$3:$C$49</definedName>
    <definedName name="容積率">項目リスト!$E$2:$Q$2</definedName>
    <definedName name="用途区分">項目リスト!$AG$3:$AG$68</definedName>
    <definedName name="用途地域">項目リスト!$AE$3:$AE$15</definedName>
    <definedName name="和暦">リスト!$O$1:$O$3</definedName>
  </definedNames>
  <calcPr calcId="191028"/>
  <customWorkbookViews>
    <customWorkbookView name="terada - 個人用ビュー" guid="{2DA24103-744A-47E0-AFFB-F94A0E194D57}" mergeInterval="0" personalView="1" xWindow="2047" yWindow="11" windowWidth="1720" windowHeight="1010" tabRatio="947" activeSheetId="1"/>
    <customWorkbookView name="tokunaga - 個人用ビュー" guid="{D83ABAE7-1F4C-4C77-8E04-C5172671ED17}" mergeInterval="0" personalView="1" maximized="1" xWindow="1912" yWindow="-8" windowWidth="1936" windowHeight="1096" tabRatio="947" activeSheetId="2"/>
    <customWorkbookView name="kasumi-PC - 個人用ビュー" guid="{E028D9C5-4CBB-430B-B1F8-80DD1ABDFA29}" mergeInterval="0" personalView="1" maximized="1" xWindow="1912" yWindow="-8" windowWidth="1936" windowHeight="1096" tabRatio="94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75" l="1"/>
  <c r="I60" i="75"/>
  <c r="Y58" i="75"/>
  <c r="Q58" i="75"/>
  <c r="L58" i="75"/>
  <c r="S55" i="75"/>
  <c r="S54" i="75"/>
  <c r="S53" i="75"/>
  <c r="S52" i="75"/>
  <c r="S51" i="75"/>
  <c r="S50" i="75"/>
  <c r="S49" i="75"/>
  <c r="I83" i="75"/>
  <c r="I82" i="75"/>
  <c r="X81" i="75"/>
  <c r="J81" i="75"/>
  <c r="V80" i="75"/>
  <c r="I80" i="75"/>
  <c r="I79" i="75"/>
  <c r="X78" i="75"/>
  <c r="U77" i="75"/>
  <c r="P77" i="75"/>
  <c r="M77" i="75"/>
  <c r="V76" i="75"/>
  <c r="I76" i="75"/>
  <c r="I75" i="75"/>
  <c r="Z74" i="75"/>
  <c r="L74" i="75"/>
  <c r="Z73" i="75"/>
  <c r="O73" i="75"/>
  <c r="I72" i="75"/>
  <c r="I71" i="75"/>
  <c r="X67" i="75"/>
  <c r="M67" i="75"/>
  <c r="I66" i="75"/>
  <c r="I65" i="75"/>
  <c r="S48" i="75"/>
  <c r="Z46" i="75"/>
  <c r="N34" i="114" l="1"/>
  <c r="L34" i="114"/>
  <c r="N33" i="114"/>
  <c r="L33" i="114"/>
  <c r="N32" i="114"/>
  <c r="L32" i="114"/>
  <c r="N31" i="114"/>
  <c r="L31" i="114"/>
  <c r="N30" i="114"/>
  <c r="L30" i="114"/>
  <c r="M24" i="114"/>
  <c r="L24" i="114"/>
  <c r="I24" i="114"/>
  <c r="G24" i="114"/>
  <c r="M18" i="114"/>
  <c r="L18" i="114"/>
  <c r="I18" i="114"/>
  <c r="G18" i="114"/>
  <c r="M17" i="114"/>
  <c r="L17" i="114"/>
  <c r="I17" i="114"/>
  <c r="G17" i="114"/>
  <c r="M16" i="114"/>
  <c r="L16" i="114"/>
  <c r="I16" i="114"/>
  <c r="G16" i="114"/>
  <c r="M15" i="114"/>
  <c r="L15" i="114"/>
  <c r="I15" i="114"/>
  <c r="G15" i="114"/>
  <c r="M14" i="114"/>
  <c r="L14" i="114"/>
  <c r="I14" i="114"/>
  <c r="G14" i="114"/>
  <c r="M13" i="114"/>
  <c r="L13" i="114"/>
  <c r="I13" i="114"/>
  <c r="G13" i="114"/>
  <c r="M12" i="114"/>
  <c r="L12" i="114"/>
  <c r="I12" i="114"/>
  <c r="G12" i="114"/>
  <c r="M11" i="114"/>
  <c r="L11" i="114"/>
  <c r="I11" i="114"/>
  <c r="G11" i="114"/>
  <c r="M10" i="114"/>
  <c r="L10" i="114"/>
  <c r="I10" i="114"/>
  <c r="G10" i="114"/>
  <c r="M9" i="114"/>
  <c r="L9" i="114"/>
  <c r="I9" i="114"/>
  <c r="G9" i="114"/>
  <c r="M8" i="114"/>
  <c r="L8" i="114"/>
  <c r="I8" i="114"/>
  <c r="G8" i="114"/>
  <c r="I73" i="74"/>
  <c r="AE125" i="113"/>
  <c r="J125" i="113"/>
  <c r="AF124" i="113"/>
  <c r="K124" i="113"/>
  <c r="J73" i="113"/>
  <c r="K61" i="113"/>
  <c r="Q60" i="113"/>
  <c r="K60" i="113"/>
  <c r="Y10" i="113"/>
  <c r="R115" i="105"/>
  <c r="R114" i="105"/>
  <c r="R113" i="105"/>
  <c r="W109" i="105"/>
  <c r="H109" i="105"/>
  <c r="W108" i="105"/>
  <c r="H108" i="105"/>
  <c r="R64" i="105"/>
  <c r="R63" i="105"/>
  <c r="R62" i="105"/>
  <c r="G55" i="105"/>
  <c r="K47" i="105"/>
  <c r="K46" i="105"/>
  <c r="S8" i="105"/>
  <c r="Q71" i="68"/>
  <c r="R59" i="68"/>
  <c r="J59" i="68"/>
  <c r="M49" i="68"/>
  <c r="S48" i="68"/>
  <c r="Z41" i="68"/>
  <c r="S41" i="68"/>
  <c r="Z39" i="68"/>
  <c r="S39" i="68"/>
  <c r="G32" i="68"/>
  <c r="H29" i="68"/>
  <c r="N18" i="68"/>
  <c r="S16" i="68"/>
  <c r="G8" i="68"/>
  <c r="G3" i="68"/>
  <c r="I83" i="112"/>
  <c r="R64" i="112"/>
  <c r="Z53" i="112"/>
  <c r="S53" i="112"/>
  <c r="M53" i="112"/>
  <c r="Z41" i="112"/>
  <c r="N18" i="112"/>
  <c r="I18" i="112"/>
  <c r="G8" i="112"/>
  <c r="K117" i="66"/>
  <c r="D18" i="90"/>
  <c r="C18" i="90" s="1"/>
  <c r="B18" i="90" s="1"/>
  <c r="F1331" i="3"/>
  <c r="F1320" i="3"/>
  <c r="F1319" i="3"/>
  <c r="F1318" i="3"/>
  <c r="F1306" i="3"/>
  <c r="F1305" i="3"/>
  <c r="F1304" i="3"/>
  <c r="F1296" i="3"/>
  <c r="F1295" i="3"/>
  <c r="F1272" i="3"/>
  <c r="F1271" i="3"/>
  <c r="F1270" i="3"/>
  <c r="F1267" i="3"/>
  <c r="F1266" i="3"/>
  <c r="F1265" i="3"/>
  <c r="F1233" i="3"/>
  <c r="F1232" i="3"/>
  <c r="F1231" i="3"/>
  <c r="F1230" i="3"/>
  <c r="F1229" i="3"/>
  <c r="F1226" i="3"/>
  <c r="F1225" i="3"/>
  <c r="F1224" i="3"/>
  <c r="F1223" i="3"/>
  <c r="F1222" i="3"/>
  <c r="F1219" i="3"/>
  <c r="F1218" i="3"/>
  <c r="F1217" i="3"/>
  <c r="F1216" i="3"/>
  <c r="F1215" i="3"/>
  <c r="F1212" i="3"/>
  <c r="F1211" i="3"/>
  <c r="F1210" i="3"/>
  <c r="F1209" i="3"/>
  <c r="F1208" i="3"/>
  <c r="F1199" i="3"/>
  <c r="F1192" i="3"/>
  <c r="F1186" i="3"/>
  <c r="F1179" i="3"/>
  <c r="I75" i="68" s="1"/>
  <c r="F1177" i="3"/>
  <c r="I72" i="68" s="1"/>
  <c r="F1175" i="3"/>
  <c r="J80" i="112" s="1"/>
  <c r="F1174" i="3"/>
  <c r="F80" i="112" s="1"/>
  <c r="F1173" i="3"/>
  <c r="F1172" i="3"/>
  <c r="J78" i="112" s="1"/>
  <c r="F1171" i="3"/>
  <c r="F78" i="112" s="1"/>
  <c r="F1170" i="3"/>
  <c r="F1168" i="3"/>
  <c r="F1167" i="3"/>
  <c r="F1166" i="3"/>
  <c r="F1163" i="3"/>
  <c r="Q76" i="112" s="1"/>
  <c r="F1162" i="3"/>
  <c r="J76" i="112" s="1"/>
  <c r="F1161" i="3"/>
  <c r="F76" i="112" s="1"/>
  <c r="F1158" i="3"/>
  <c r="Q75" i="112" s="1"/>
  <c r="F1157" i="3"/>
  <c r="J75" i="112" s="1"/>
  <c r="F1156" i="3"/>
  <c r="F70" i="68" s="1"/>
  <c r="F1153" i="3"/>
  <c r="F1303" i="3" s="1"/>
  <c r="F1152" i="3"/>
  <c r="J74" i="112" s="1"/>
  <c r="F1151" i="3"/>
  <c r="F1302" i="3" s="1"/>
  <c r="F1146" i="3"/>
  <c r="F1145" i="3"/>
  <c r="F1143" i="3"/>
  <c r="J67" i="68" s="1"/>
  <c r="F1141" i="3"/>
  <c r="M60" i="113" s="1"/>
  <c r="F1136" i="3"/>
  <c r="F1135" i="3"/>
  <c r="F1134" i="3"/>
  <c r="F1133" i="3"/>
  <c r="F1132" i="3"/>
  <c r="F1128" i="3"/>
  <c r="F1127" i="3"/>
  <c r="F1126" i="3"/>
  <c r="F1125" i="3"/>
  <c r="F1124" i="3"/>
  <c r="H64" i="68" s="1"/>
  <c r="F1120" i="3"/>
  <c r="F1119" i="3"/>
  <c r="F1118" i="3"/>
  <c r="F1117" i="3"/>
  <c r="F1116" i="3"/>
  <c r="F1112" i="3"/>
  <c r="T67" i="112" s="1"/>
  <c r="F1111" i="3"/>
  <c r="M67" i="112" s="1"/>
  <c r="F1110" i="3"/>
  <c r="F67" i="112" s="1"/>
  <c r="F1107" i="3"/>
  <c r="V65" i="112" s="1"/>
  <c r="F1106" i="3"/>
  <c r="S65" i="112" s="1"/>
  <c r="F1105" i="3"/>
  <c r="F1102" i="3"/>
  <c r="F1101" i="3"/>
  <c r="F1100" i="3"/>
  <c r="F1099" i="3"/>
  <c r="I15" i="73" s="1"/>
  <c r="F1097" i="3"/>
  <c r="R63" i="112" s="1"/>
  <c r="F1096" i="3"/>
  <c r="J63" i="112" s="1"/>
  <c r="F1094" i="3"/>
  <c r="R62" i="112" s="1"/>
  <c r="F1093" i="3"/>
  <c r="J62" i="112" s="1"/>
  <c r="F1091" i="3"/>
  <c r="R56" i="68" s="1"/>
  <c r="F1090" i="3"/>
  <c r="J56" i="68" s="1"/>
  <c r="F1086" i="3"/>
  <c r="M54" i="68" s="1"/>
  <c r="F1085" i="3"/>
  <c r="M53" i="68" s="1"/>
  <c r="F1082" i="3"/>
  <c r="M56" i="112" s="1"/>
  <c r="F1079" i="3"/>
  <c r="M55" i="112" s="1"/>
  <c r="F1076" i="3"/>
  <c r="Z54" i="112" s="1"/>
  <c r="F1075" i="3"/>
  <c r="S54" i="112" s="1"/>
  <c r="F1074" i="3"/>
  <c r="M54" i="112" s="1"/>
  <c r="F1071" i="3"/>
  <c r="Z48" i="68" s="1"/>
  <c r="F1070" i="3"/>
  <c r="F1069" i="3"/>
  <c r="M48" i="68" s="1"/>
  <c r="F1066" i="3"/>
  <c r="Z52" i="112" s="1"/>
  <c r="F1065" i="3"/>
  <c r="S52" i="112" s="1"/>
  <c r="F1064" i="3"/>
  <c r="M52" i="112" s="1"/>
  <c r="F1061" i="3"/>
  <c r="Z51" i="112" s="1"/>
  <c r="F1060" i="3"/>
  <c r="S51" i="112" s="1"/>
  <c r="F1059" i="3"/>
  <c r="M51" i="112" s="1"/>
  <c r="F1056" i="3"/>
  <c r="Z46" i="68" s="1"/>
  <c r="F1055" i="3"/>
  <c r="S46" i="68" s="1"/>
  <c r="F1054" i="3"/>
  <c r="M46" i="68" s="1"/>
  <c r="F1051" i="3"/>
  <c r="Z49" i="112" s="1"/>
  <c r="F1050" i="3"/>
  <c r="S49" i="112" s="1"/>
  <c r="F1049" i="3"/>
  <c r="M49" i="112" s="1"/>
  <c r="F1046" i="3"/>
  <c r="Z48" i="112" s="1"/>
  <c r="F1045" i="3"/>
  <c r="S44" i="68" s="1"/>
  <c r="F1044" i="3"/>
  <c r="M48" i="112" s="1"/>
  <c r="F1041" i="3"/>
  <c r="Z47" i="112" s="1"/>
  <c r="F1040" i="3"/>
  <c r="S47" i="112" s="1"/>
  <c r="F1039" i="3"/>
  <c r="M43" i="68" s="1"/>
  <c r="F1036" i="3"/>
  <c r="Z46" i="112" s="1"/>
  <c r="F1035" i="3"/>
  <c r="S46" i="112" s="1"/>
  <c r="F1034" i="3"/>
  <c r="M46" i="112" s="1"/>
  <c r="F1031" i="3"/>
  <c r="Z45" i="112" s="1"/>
  <c r="F1030" i="3"/>
  <c r="S45" i="112" s="1"/>
  <c r="F1029" i="3"/>
  <c r="M45" i="112" s="1"/>
  <c r="F1026" i="3"/>
  <c r="Z44" i="112" s="1"/>
  <c r="F1025" i="3"/>
  <c r="S44" i="112" s="1"/>
  <c r="F1024" i="3"/>
  <c r="M41" i="68" s="1"/>
  <c r="F1021" i="3"/>
  <c r="Z40" i="68" s="1"/>
  <c r="F1020" i="3"/>
  <c r="S40" i="68" s="1"/>
  <c r="F1019" i="3"/>
  <c r="M40" i="68" s="1"/>
  <c r="F1016" i="3"/>
  <c r="F1015" i="3"/>
  <c r="S41" i="112" s="1"/>
  <c r="F1014" i="3"/>
  <c r="M39" i="68" s="1"/>
  <c r="F1011" i="3"/>
  <c r="Z37" i="68" s="1"/>
  <c r="F1010" i="3"/>
  <c r="S39" i="112" s="1"/>
  <c r="F1009" i="3"/>
  <c r="M37" i="68" s="1"/>
  <c r="F1005" i="3"/>
  <c r="M35" i="68" s="1"/>
  <c r="F1004" i="3"/>
  <c r="Z34" i="68" s="1"/>
  <c r="F1003" i="3"/>
  <c r="S34" i="68" s="1"/>
  <c r="F1002" i="3"/>
  <c r="M36" i="112" s="1"/>
  <c r="F1001" i="3"/>
  <c r="Z34" i="112" s="1"/>
  <c r="F1000" i="3"/>
  <c r="S34" i="112" s="1"/>
  <c r="F999" i="3"/>
  <c r="M34" i="112" s="1"/>
  <c r="F996" i="3"/>
  <c r="F995" i="3"/>
  <c r="F994" i="3"/>
  <c r="F993" i="3"/>
  <c r="F992" i="3"/>
  <c r="F991" i="3"/>
  <c r="F990" i="3"/>
  <c r="F989" i="3"/>
  <c r="F988" i="3"/>
  <c r="F985" i="3"/>
  <c r="F984" i="3"/>
  <c r="F983" i="3"/>
  <c r="F982" i="3"/>
  <c r="F981" i="3"/>
  <c r="F980" i="3"/>
  <c r="F978" i="3"/>
  <c r="F977" i="3"/>
  <c r="F976" i="3"/>
  <c r="F975" i="3"/>
  <c r="F974" i="3"/>
  <c r="F973" i="3"/>
  <c r="F972" i="3"/>
  <c r="F971" i="3"/>
  <c r="F970" i="3"/>
  <c r="F967" i="3"/>
  <c r="F966" i="3"/>
  <c r="N32" i="112" s="1"/>
  <c r="F965" i="3"/>
  <c r="G32" i="112" s="1"/>
  <c r="F964" i="3"/>
  <c r="T31" i="68" s="1"/>
  <c r="F963" i="3"/>
  <c r="Y78" i="113" s="1"/>
  <c r="F962" i="3"/>
  <c r="T78" i="113" s="1"/>
  <c r="F961" i="3"/>
  <c r="K61" i="105" s="1"/>
  <c r="F960" i="3"/>
  <c r="F61" i="105" s="1"/>
  <c r="F959" i="3"/>
  <c r="F957" i="3"/>
  <c r="F956" i="3"/>
  <c r="T13" i="73" s="1"/>
  <c r="F955" i="3"/>
  <c r="H29" i="112" s="1"/>
  <c r="F953" i="3"/>
  <c r="H27" i="68" s="1"/>
  <c r="F952" i="3"/>
  <c r="Q26" i="112" s="1"/>
  <c r="F951" i="3"/>
  <c r="Q25" i="68" s="1"/>
  <c r="F950" i="3"/>
  <c r="J24" i="68" s="1"/>
  <c r="F949" i="3"/>
  <c r="S109" i="113" s="1"/>
  <c r="F947" i="3"/>
  <c r="X22" i="112" s="1"/>
  <c r="F946" i="3"/>
  <c r="S22" i="112" s="1"/>
  <c r="F945" i="3"/>
  <c r="N22" i="112" s="1"/>
  <c r="F944" i="3"/>
  <c r="I22" i="112" s="1"/>
  <c r="F942" i="3"/>
  <c r="X20" i="68" s="1"/>
  <c r="F941" i="3"/>
  <c r="S20" i="68" s="1"/>
  <c r="F940" i="3"/>
  <c r="N20" i="68" s="1"/>
  <c r="F939" i="3"/>
  <c r="I20" i="68" s="1"/>
  <c r="F937" i="3"/>
  <c r="X18" i="68" s="1"/>
  <c r="F936" i="3"/>
  <c r="S18" i="68" s="1"/>
  <c r="F935" i="3"/>
  <c r="F934" i="3"/>
  <c r="I18" i="68" s="1"/>
  <c r="F932" i="3"/>
  <c r="X17" i="112" s="1"/>
  <c r="F931" i="3"/>
  <c r="S17" i="68" s="1"/>
  <c r="F930" i="3"/>
  <c r="N17" i="68" s="1"/>
  <c r="F929" i="3"/>
  <c r="I17" i="68" s="1"/>
  <c r="F928" i="3"/>
  <c r="X16" i="112" s="1"/>
  <c r="F927" i="3"/>
  <c r="S16" i="112" s="1"/>
  <c r="F926" i="3"/>
  <c r="N16" i="112" s="1"/>
  <c r="F925" i="3"/>
  <c r="I16" i="112" s="1"/>
  <c r="F921" i="3"/>
  <c r="M14" i="68" s="1"/>
  <c r="F920" i="3"/>
  <c r="X20" i="73" s="1"/>
  <c r="F917" i="3"/>
  <c r="G10" i="68" s="1"/>
  <c r="F915" i="3"/>
  <c r="F914" i="3"/>
  <c r="Q8" i="68" s="1"/>
  <c r="F913" i="3"/>
  <c r="M30" i="73" s="1"/>
  <c r="F912" i="3"/>
  <c r="I30" i="73" s="1"/>
  <c r="F911" i="3"/>
  <c r="F909" i="3"/>
  <c r="G60" i="105" s="1"/>
  <c r="F908" i="3"/>
  <c r="R59" i="105" s="1"/>
  <c r="F907" i="3"/>
  <c r="G59" i="105" s="1"/>
  <c r="F906" i="3"/>
  <c r="N58" i="105" s="1"/>
  <c r="F905" i="3"/>
  <c r="F904" i="3"/>
  <c r="G58" i="105" s="1"/>
  <c r="F902" i="3"/>
  <c r="F903" i="3" s="1"/>
  <c r="F901" i="3"/>
  <c r="J27" i="73" s="1"/>
  <c r="F898" i="3"/>
  <c r="F897" i="3"/>
  <c r="F896" i="3"/>
  <c r="G4" i="112" s="1"/>
  <c r="F893" i="3"/>
  <c r="F892" i="3"/>
  <c r="F891" i="3"/>
  <c r="J72" i="113" s="1"/>
  <c r="F886" i="3"/>
  <c r="AC92" i="113" s="1"/>
  <c r="F885" i="3"/>
  <c r="AE106" i="113" s="1"/>
  <c r="F884" i="3"/>
  <c r="W92" i="105" s="1"/>
  <c r="F882" i="3"/>
  <c r="P88" i="105" s="1"/>
  <c r="F881" i="3"/>
  <c r="P94" i="105" s="1"/>
  <c r="F880" i="3"/>
  <c r="P92" i="105" s="1"/>
  <c r="P66" i="105" s="1"/>
  <c r="F878" i="3"/>
  <c r="I88" i="105" s="1"/>
  <c r="F877" i="3"/>
  <c r="F876" i="3"/>
  <c r="F875" i="3"/>
  <c r="F874" i="3"/>
  <c r="F873" i="3"/>
  <c r="I94" i="105" s="1"/>
  <c r="F872" i="3"/>
  <c r="K104" i="113" s="1"/>
  <c r="F871" i="3"/>
  <c r="F870" i="3"/>
  <c r="F863" i="3"/>
  <c r="F862" i="3"/>
  <c r="F858" i="3"/>
  <c r="F857" i="3"/>
  <c r="F856" i="3"/>
  <c r="F854" i="3"/>
  <c r="F853" i="3"/>
  <c r="F852" i="3"/>
  <c r="F851" i="3"/>
  <c r="F850" i="3"/>
  <c r="F849" i="3"/>
  <c r="F844" i="3"/>
  <c r="F843" i="3"/>
  <c r="F845" i="3" s="1"/>
  <c r="F842" i="3"/>
  <c r="F840" i="3"/>
  <c r="F839" i="3"/>
  <c r="F838" i="3"/>
  <c r="F837" i="3"/>
  <c r="F836" i="3"/>
  <c r="F835" i="3"/>
  <c r="F830" i="3"/>
  <c r="I151" i="66" s="1"/>
  <c r="F829" i="3"/>
  <c r="F828" i="3"/>
  <c r="N1" i="114" s="1"/>
  <c r="F822" i="3"/>
  <c r="F821" i="3"/>
  <c r="F820" i="3"/>
  <c r="F819" i="3"/>
  <c r="F818" i="3"/>
  <c r="F817" i="3"/>
  <c r="F816" i="3"/>
  <c r="F815" i="3"/>
  <c r="F812" i="3"/>
  <c r="F811" i="3"/>
  <c r="F810" i="3"/>
  <c r="F809" i="3"/>
  <c r="F808" i="3"/>
  <c r="F807" i="3"/>
  <c r="F806" i="3"/>
  <c r="F805" i="3"/>
  <c r="F802" i="3"/>
  <c r="F801" i="3"/>
  <c r="F800" i="3"/>
  <c r="F799" i="3"/>
  <c r="F798" i="3"/>
  <c r="F797" i="3"/>
  <c r="F796" i="3"/>
  <c r="F795" i="3"/>
  <c r="F792" i="3"/>
  <c r="F791" i="3"/>
  <c r="F790" i="3"/>
  <c r="F789" i="3"/>
  <c r="F788" i="3"/>
  <c r="F787" i="3"/>
  <c r="F786" i="3"/>
  <c r="F785" i="3"/>
  <c r="F782" i="3"/>
  <c r="F781" i="3"/>
  <c r="F780" i="3"/>
  <c r="F779" i="3"/>
  <c r="F778" i="3"/>
  <c r="F777" i="3"/>
  <c r="F776" i="3"/>
  <c r="F775" i="3"/>
  <c r="F772" i="3"/>
  <c r="I26" i="113" s="1"/>
  <c r="F771" i="3"/>
  <c r="I148" i="66" s="1"/>
  <c r="F770" i="3"/>
  <c r="I147" i="66" s="1"/>
  <c r="F769" i="3"/>
  <c r="I146" i="66" s="1"/>
  <c r="F768" i="3"/>
  <c r="T145" i="66" s="1"/>
  <c r="F767" i="3"/>
  <c r="N145" i="66" s="1"/>
  <c r="F766" i="3"/>
  <c r="F765" i="3"/>
  <c r="F773" i="3" s="1"/>
  <c r="F762" i="3"/>
  <c r="F761" i="3"/>
  <c r="F760" i="3"/>
  <c r="F759" i="3"/>
  <c r="F758" i="3"/>
  <c r="F757" i="3"/>
  <c r="F756" i="3"/>
  <c r="F755" i="3"/>
  <c r="F754" i="3"/>
  <c r="F753" i="3"/>
  <c r="F752" i="3"/>
  <c r="F751" i="3"/>
  <c r="F750" i="3"/>
  <c r="F749" i="3"/>
  <c r="F746" i="3"/>
  <c r="F745" i="3"/>
  <c r="F744" i="3"/>
  <c r="F743" i="3"/>
  <c r="F742" i="3"/>
  <c r="F741" i="3"/>
  <c r="F740" i="3"/>
  <c r="F739" i="3"/>
  <c r="F738" i="3"/>
  <c r="F737" i="3"/>
  <c r="F736" i="3"/>
  <c r="F735" i="3"/>
  <c r="F734" i="3"/>
  <c r="F733" i="3"/>
  <c r="F730" i="3"/>
  <c r="F729" i="3"/>
  <c r="F728" i="3"/>
  <c r="F727" i="3"/>
  <c r="F726" i="3"/>
  <c r="F725" i="3"/>
  <c r="F724" i="3"/>
  <c r="F723" i="3"/>
  <c r="F722" i="3"/>
  <c r="F721" i="3"/>
  <c r="F720" i="3"/>
  <c r="F719" i="3"/>
  <c r="F718" i="3"/>
  <c r="F717" i="3"/>
  <c r="F714" i="3"/>
  <c r="F713" i="3"/>
  <c r="F712" i="3"/>
  <c r="F711" i="3"/>
  <c r="F710" i="3"/>
  <c r="F709" i="3"/>
  <c r="F708" i="3"/>
  <c r="F707" i="3"/>
  <c r="F706" i="3"/>
  <c r="F705" i="3"/>
  <c r="F704" i="3"/>
  <c r="F703" i="3"/>
  <c r="F702" i="3"/>
  <c r="F701" i="3"/>
  <c r="F698" i="3"/>
  <c r="F697" i="3"/>
  <c r="F696" i="3"/>
  <c r="F695" i="3"/>
  <c r="F694" i="3"/>
  <c r="F693" i="3"/>
  <c r="F692" i="3"/>
  <c r="F691" i="3"/>
  <c r="F690" i="3"/>
  <c r="F689" i="3"/>
  <c r="F688" i="3"/>
  <c r="F687" i="3"/>
  <c r="F686" i="3"/>
  <c r="F685" i="3"/>
  <c r="F682" i="3"/>
  <c r="F681" i="3"/>
  <c r="F680" i="3"/>
  <c r="F679" i="3"/>
  <c r="F678" i="3"/>
  <c r="F677" i="3"/>
  <c r="F676" i="3"/>
  <c r="F675" i="3"/>
  <c r="F674" i="3"/>
  <c r="F673" i="3"/>
  <c r="F672" i="3"/>
  <c r="F671" i="3"/>
  <c r="F670" i="3"/>
  <c r="F669" i="3"/>
  <c r="F666" i="3"/>
  <c r="F665" i="3"/>
  <c r="F664" i="3"/>
  <c r="F663" i="3"/>
  <c r="F662" i="3"/>
  <c r="F661" i="3"/>
  <c r="F660" i="3"/>
  <c r="F659" i="3"/>
  <c r="F658" i="3"/>
  <c r="F657" i="3"/>
  <c r="F656" i="3"/>
  <c r="F655" i="3"/>
  <c r="F654" i="3"/>
  <c r="F653" i="3"/>
  <c r="F650" i="3"/>
  <c r="F649" i="3"/>
  <c r="F648" i="3"/>
  <c r="F647" i="3"/>
  <c r="F646" i="3"/>
  <c r="F645" i="3"/>
  <c r="F644" i="3"/>
  <c r="F643" i="3"/>
  <c r="F642" i="3"/>
  <c r="F641" i="3"/>
  <c r="F640" i="3"/>
  <c r="F639" i="3"/>
  <c r="F638" i="3"/>
  <c r="F637" i="3"/>
  <c r="F634" i="3"/>
  <c r="K142" i="66" s="1"/>
  <c r="F633" i="3"/>
  <c r="I141" i="66" s="1"/>
  <c r="F632" i="3"/>
  <c r="I140" i="66" s="1"/>
  <c r="F631" i="3"/>
  <c r="I139" i="66" s="1"/>
  <c r="F630" i="3"/>
  <c r="I138" i="66" s="1"/>
  <c r="F629" i="3"/>
  <c r="X137" i="66" s="1"/>
  <c r="F628" i="3"/>
  <c r="R137" i="66" s="1"/>
  <c r="F627" i="3"/>
  <c r="J137" i="66" s="1"/>
  <c r="F626" i="3"/>
  <c r="F625" i="3"/>
  <c r="I136" i="66" s="1"/>
  <c r="F624" i="3"/>
  <c r="X135" i="66" s="1"/>
  <c r="F623" i="3"/>
  <c r="R135" i="66" s="1"/>
  <c r="F622" i="3"/>
  <c r="J135" i="66" s="1"/>
  <c r="F621" i="3"/>
  <c r="F618" i="3"/>
  <c r="K134" i="66" s="1"/>
  <c r="F617" i="3"/>
  <c r="I133" i="66" s="1"/>
  <c r="F616" i="3"/>
  <c r="I132" i="66" s="1"/>
  <c r="F615" i="3"/>
  <c r="I131" i="66" s="1"/>
  <c r="F614" i="3"/>
  <c r="I130" i="66" s="1"/>
  <c r="F613" i="3"/>
  <c r="X129" i="66" s="1"/>
  <c r="F612" i="3"/>
  <c r="R129" i="66" s="1"/>
  <c r="F611" i="3"/>
  <c r="J129" i="66" s="1"/>
  <c r="F610" i="3"/>
  <c r="F609" i="3"/>
  <c r="I128" i="66" s="1"/>
  <c r="F608" i="3"/>
  <c r="X127" i="66" s="1"/>
  <c r="F607" i="3"/>
  <c r="R127" i="66" s="1"/>
  <c r="F606" i="3"/>
  <c r="J127" i="66" s="1"/>
  <c r="F605" i="3"/>
  <c r="F602" i="3"/>
  <c r="K126" i="66" s="1"/>
  <c r="F601" i="3"/>
  <c r="I125" i="66" s="1"/>
  <c r="F600" i="3"/>
  <c r="I124" i="66" s="1"/>
  <c r="F599" i="3"/>
  <c r="I123" i="66" s="1"/>
  <c r="F598" i="3"/>
  <c r="I122" i="66" s="1"/>
  <c r="F597" i="3"/>
  <c r="X121" i="66" s="1"/>
  <c r="F596" i="3"/>
  <c r="R121" i="66" s="1"/>
  <c r="F595" i="3"/>
  <c r="J121" i="66" s="1"/>
  <c r="F594" i="3"/>
  <c r="F593" i="3"/>
  <c r="I120" i="66" s="1"/>
  <c r="F592" i="3"/>
  <c r="X119" i="66" s="1"/>
  <c r="F591" i="3"/>
  <c r="R119" i="66" s="1"/>
  <c r="F590" i="3"/>
  <c r="J119" i="66" s="1"/>
  <c r="F589" i="3"/>
  <c r="F586" i="3"/>
  <c r="F585" i="3"/>
  <c r="I116" i="66" s="1"/>
  <c r="F584" i="3"/>
  <c r="I115" i="66" s="1"/>
  <c r="F583" i="3"/>
  <c r="F582" i="3"/>
  <c r="I114" i="66" s="1"/>
  <c r="F581" i="3"/>
  <c r="I113" i="66" s="1"/>
  <c r="F580" i="3"/>
  <c r="X112" i="66" s="1"/>
  <c r="F579" i="3"/>
  <c r="R112" i="66" s="1"/>
  <c r="F578" i="3"/>
  <c r="J112" i="66" s="1"/>
  <c r="F577" i="3"/>
  <c r="F576" i="3"/>
  <c r="E25" i="105" s="1"/>
  <c r="F575" i="3"/>
  <c r="X110" i="66" s="1"/>
  <c r="F574" i="3"/>
  <c r="R110" i="66" s="1"/>
  <c r="F573" i="3"/>
  <c r="J110" i="66" s="1"/>
  <c r="F572" i="3"/>
  <c r="F569" i="3"/>
  <c r="F568" i="3"/>
  <c r="F567" i="3"/>
  <c r="F566" i="3"/>
  <c r="F565" i="3"/>
  <c r="F564" i="3"/>
  <c r="F563" i="3"/>
  <c r="F561" i="3"/>
  <c r="K107" i="66" s="1"/>
  <c r="F560" i="3"/>
  <c r="I106" i="66" s="1"/>
  <c r="F559" i="3"/>
  <c r="I105" i="66" s="1"/>
  <c r="F558" i="3"/>
  <c r="I104" i="66" s="1"/>
  <c r="F557" i="3"/>
  <c r="I103" i="66" s="1"/>
  <c r="F556" i="3"/>
  <c r="I102" i="66" s="1"/>
  <c r="F555" i="3"/>
  <c r="I101" i="66" s="1"/>
  <c r="F552" i="3"/>
  <c r="K100" i="66" s="1"/>
  <c r="F551" i="3"/>
  <c r="I99" i="66" s="1"/>
  <c r="F550" i="3"/>
  <c r="I98" i="66" s="1"/>
  <c r="F549" i="3"/>
  <c r="I97" i="66" s="1"/>
  <c r="F548" i="3"/>
  <c r="I96" i="66" s="1"/>
  <c r="F547" i="3"/>
  <c r="I95" i="66" s="1"/>
  <c r="F546" i="3"/>
  <c r="I94" i="66" s="1"/>
  <c r="F543" i="3"/>
  <c r="K93" i="66" s="1"/>
  <c r="F542" i="3"/>
  <c r="I92" i="66" s="1"/>
  <c r="F541" i="3"/>
  <c r="I91" i="66" s="1"/>
  <c r="F540" i="3"/>
  <c r="I90" i="66" s="1"/>
  <c r="F539" i="3"/>
  <c r="I89" i="66" s="1"/>
  <c r="F538" i="3"/>
  <c r="I88" i="66" s="1"/>
  <c r="F537" i="3"/>
  <c r="I87" i="66" s="1"/>
  <c r="F534" i="3"/>
  <c r="K85" i="66" s="1"/>
  <c r="F533" i="3"/>
  <c r="I84" i="66" s="1"/>
  <c r="F532" i="3"/>
  <c r="I83" i="66" s="1"/>
  <c r="F531" i="3"/>
  <c r="I82" i="66" s="1"/>
  <c r="F530" i="3"/>
  <c r="I81" i="66" s="1"/>
  <c r="F529" i="3"/>
  <c r="I80" i="66" s="1"/>
  <c r="F528" i="3"/>
  <c r="I79" i="66" s="1"/>
  <c r="F524" i="3"/>
  <c r="F523" i="3"/>
  <c r="F522" i="3"/>
  <c r="F521" i="3"/>
  <c r="F520" i="3"/>
  <c r="P76" i="66" s="1"/>
  <c r="F519" i="3"/>
  <c r="P75" i="66" s="1"/>
  <c r="F518" i="3"/>
  <c r="P74" i="66" s="1"/>
  <c r="F517" i="3"/>
  <c r="P73" i="66" s="1"/>
  <c r="F516" i="3"/>
  <c r="P72" i="66" s="1"/>
  <c r="F515" i="3"/>
  <c r="P71" i="66" s="1"/>
  <c r="F512" i="3"/>
  <c r="F511" i="3"/>
  <c r="F510" i="3"/>
  <c r="F509" i="3"/>
  <c r="F508" i="3"/>
  <c r="P69" i="66" s="1"/>
  <c r="F507" i="3"/>
  <c r="P68" i="66" s="1"/>
  <c r="F506" i="3"/>
  <c r="P67" i="66" s="1"/>
  <c r="F505" i="3"/>
  <c r="P66" i="66" s="1"/>
  <c r="F504" i="3"/>
  <c r="P65" i="66" s="1"/>
  <c r="F503" i="3"/>
  <c r="P64" i="66" s="1"/>
  <c r="F500" i="3"/>
  <c r="F499" i="3"/>
  <c r="F498" i="3"/>
  <c r="F497" i="3"/>
  <c r="F496" i="3"/>
  <c r="F495" i="3"/>
  <c r="F494" i="3"/>
  <c r="F493" i="3"/>
  <c r="F492" i="3"/>
  <c r="P62" i="66" s="1"/>
  <c r="F491" i="3"/>
  <c r="P61" i="66" s="1"/>
  <c r="F488" i="3"/>
  <c r="F487" i="3"/>
  <c r="F486" i="3"/>
  <c r="F485" i="3"/>
  <c r="F484" i="3"/>
  <c r="F483" i="3"/>
  <c r="F482" i="3"/>
  <c r="F481" i="3"/>
  <c r="F480" i="3"/>
  <c r="P59" i="66" s="1"/>
  <c r="F479" i="3"/>
  <c r="P58" i="66" s="1"/>
  <c r="F475" i="3"/>
  <c r="F474" i="3"/>
  <c r="F473" i="3"/>
  <c r="F472" i="3"/>
  <c r="F471" i="3"/>
  <c r="F470" i="3"/>
  <c r="F469" i="3"/>
  <c r="F468" i="3"/>
  <c r="F467" i="3"/>
  <c r="F466" i="3"/>
  <c r="F465" i="3"/>
  <c r="F464" i="3"/>
  <c r="F463" i="3"/>
  <c r="F462" i="3"/>
  <c r="F461" i="3"/>
  <c r="F458" i="3"/>
  <c r="F457" i="3"/>
  <c r="F456" i="3"/>
  <c r="F455" i="3"/>
  <c r="F454" i="3"/>
  <c r="F453" i="3"/>
  <c r="F452" i="3"/>
  <c r="F451" i="3"/>
  <c r="F450" i="3"/>
  <c r="F449" i="3"/>
  <c r="F448" i="3"/>
  <c r="F447" i="3"/>
  <c r="F446" i="3"/>
  <c r="F445" i="3"/>
  <c r="F444" i="3"/>
  <c r="F441" i="3"/>
  <c r="F440" i="3"/>
  <c r="F439" i="3"/>
  <c r="F438" i="3"/>
  <c r="F437" i="3"/>
  <c r="F436" i="3"/>
  <c r="F435" i="3"/>
  <c r="F434" i="3"/>
  <c r="F433" i="3"/>
  <c r="F432" i="3"/>
  <c r="F431" i="3"/>
  <c r="F430" i="3"/>
  <c r="F429" i="3"/>
  <c r="F428" i="3"/>
  <c r="F427" i="3"/>
  <c r="F424" i="3"/>
  <c r="F423" i="3"/>
  <c r="F422" i="3"/>
  <c r="F421" i="3"/>
  <c r="F420" i="3"/>
  <c r="F419" i="3"/>
  <c r="F418" i="3"/>
  <c r="F417" i="3"/>
  <c r="F416" i="3"/>
  <c r="F415" i="3"/>
  <c r="F414" i="3"/>
  <c r="F413" i="3"/>
  <c r="F412" i="3"/>
  <c r="F411" i="3"/>
  <c r="F410" i="3"/>
  <c r="F407" i="3"/>
  <c r="F406" i="3"/>
  <c r="F405" i="3"/>
  <c r="F404" i="3"/>
  <c r="F403" i="3"/>
  <c r="F402" i="3"/>
  <c r="F401" i="3"/>
  <c r="F400" i="3"/>
  <c r="F399" i="3"/>
  <c r="F398" i="3"/>
  <c r="F397" i="3"/>
  <c r="F396" i="3"/>
  <c r="F395" i="3"/>
  <c r="F394" i="3"/>
  <c r="F393" i="3"/>
  <c r="F390" i="3"/>
  <c r="F389" i="3"/>
  <c r="F388" i="3"/>
  <c r="F387" i="3"/>
  <c r="F386" i="3"/>
  <c r="F385" i="3"/>
  <c r="F384" i="3"/>
  <c r="F383" i="3"/>
  <c r="F382" i="3"/>
  <c r="F381" i="3"/>
  <c r="F380" i="3"/>
  <c r="F379" i="3"/>
  <c r="F378" i="3"/>
  <c r="F377" i="3"/>
  <c r="F376" i="3"/>
  <c r="F373" i="3"/>
  <c r="F372" i="3"/>
  <c r="F371" i="3"/>
  <c r="F370" i="3"/>
  <c r="F369" i="3"/>
  <c r="F368" i="3"/>
  <c r="F367" i="3"/>
  <c r="F366" i="3"/>
  <c r="F365" i="3"/>
  <c r="F364" i="3"/>
  <c r="F363" i="3"/>
  <c r="F362" i="3"/>
  <c r="F361" i="3"/>
  <c r="F360" i="3"/>
  <c r="F359" i="3"/>
  <c r="F356" i="3"/>
  <c r="F355" i="3"/>
  <c r="F354" i="3"/>
  <c r="F353" i="3"/>
  <c r="F352" i="3"/>
  <c r="F351" i="3"/>
  <c r="F350" i="3"/>
  <c r="F349" i="3"/>
  <c r="F348" i="3"/>
  <c r="F347" i="3"/>
  <c r="F346" i="3"/>
  <c r="F345" i="3"/>
  <c r="F344" i="3"/>
  <c r="F343" i="3"/>
  <c r="F342" i="3"/>
  <c r="F339" i="3"/>
  <c r="L54" i="66" s="1"/>
  <c r="F338" i="3"/>
  <c r="I53" i="66" s="1"/>
  <c r="F337" i="3"/>
  <c r="I52" i="66" s="1"/>
  <c r="F336" i="3"/>
  <c r="I51" i="66" s="1"/>
  <c r="F335" i="3"/>
  <c r="F334" i="3"/>
  <c r="I50" i="66" s="1"/>
  <c r="F333" i="3"/>
  <c r="X49" i="66" s="1"/>
  <c r="F332" i="3"/>
  <c r="R49" i="66" s="1"/>
  <c r="F331" i="3"/>
  <c r="J49" i="66" s="1"/>
  <c r="F330" i="3"/>
  <c r="F329" i="3"/>
  <c r="I48" i="66" s="1"/>
  <c r="F328" i="3"/>
  <c r="X47" i="66" s="1"/>
  <c r="F327" i="3"/>
  <c r="R47" i="66" s="1"/>
  <c r="F326" i="3"/>
  <c r="J47" i="66" s="1"/>
  <c r="F325" i="3"/>
  <c r="F322" i="3"/>
  <c r="L46" i="66" s="1"/>
  <c r="F321" i="3"/>
  <c r="I45" i="66" s="1"/>
  <c r="F320" i="3"/>
  <c r="I44" i="66" s="1"/>
  <c r="F319" i="3"/>
  <c r="I43" i="66" s="1"/>
  <c r="F318" i="3"/>
  <c r="F317" i="3"/>
  <c r="I42" i="66" s="1"/>
  <c r="F316" i="3"/>
  <c r="X41" i="66" s="1"/>
  <c r="F315" i="3"/>
  <c r="R41" i="66" s="1"/>
  <c r="F314" i="3"/>
  <c r="J41" i="66" s="1"/>
  <c r="F313" i="3"/>
  <c r="F312" i="3"/>
  <c r="I40" i="66" s="1"/>
  <c r="F311" i="3"/>
  <c r="X39" i="66" s="1"/>
  <c r="F310" i="3"/>
  <c r="R39" i="66" s="1"/>
  <c r="F309" i="3"/>
  <c r="J39" i="66" s="1"/>
  <c r="F308" i="3"/>
  <c r="F305" i="3"/>
  <c r="L38" i="66" s="1"/>
  <c r="F304" i="3"/>
  <c r="I37" i="66" s="1"/>
  <c r="F303" i="3"/>
  <c r="I36" i="66" s="1"/>
  <c r="F302" i="3"/>
  <c r="I35" i="66" s="1"/>
  <c r="F301" i="3"/>
  <c r="F300" i="3"/>
  <c r="I34" i="66" s="1"/>
  <c r="F299" i="3"/>
  <c r="X33" i="66" s="1"/>
  <c r="F298" i="3"/>
  <c r="R33" i="66" s="1"/>
  <c r="F297" i="3"/>
  <c r="J33" i="66" s="1"/>
  <c r="F296" i="3"/>
  <c r="F295" i="3"/>
  <c r="I32" i="66" s="1"/>
  <c r="F294" i="3"/>
  <c r="X31" i="66" s="1"/>
  <c r="F293" i="3"/>
  <c r="R31" i="66" s="1"/>
  <c r="F292" i="3"/>
  <c r="J31" i="66" s="1"/>
  <c r="F291" i="3"/>
  <c r="F288" i="3"/>
  <c r="L29" i="66" s="1"/>
  <c r="F287" i="3"/>
  <c r="I25" i="74" s="1"/>
  <c r="F286" i="3"/>
  <c r="I81" i="74" s="1"/>
  <c r="F285" i="3"/>
  <c r="I26" i="66" s="1"/>
  <c r="F284" i="3"/>
  <c r="N35" i="114" s="1"/>
  <c r="F283" i="3"/>
  <c r="I80" i="74" s="1"/>
  <c r="F282" i="3"/>
  <c r="X24" i="66" s="1"/>
  <c r="F281" i="3"/>
  <c r="S134" i="74" s="1"/>
  <c r="F280" i="3"/>
  <c r="K134" i="74" s="1"/>
  <c r="F279" i="3"/>
  <c r="F278" i="3"/>
  <c r="I133" i="74" s="1"/>
  <c r="F277" i="3"/>
  <c r="Z132" i="74" s="1"/>
  <c r="F276" i="3"/>
  <c r="R132" i="74" s="1"/>
  <c r="F275" i="3"/>
  <c r="K132" i="74" s="1"/>
  <c r="F274" i="3"/>
  <c r="F271" i="3"/>
  <c r="F270" i="3"/>
  <c r="F269" i="3"/>
  <c r="F268" i="3"/>
  <c r="F267" i="3"/>
  <c r="F266" i="3"/>
  <c r="F265" i="3"/>
  <c r="F264" i="3"/>
  <c r="F263" i="3"/>
  <c r="F262" i="3"/>
  <c r="F261" i="3"/>
  <c r="F260" i="3"/>
  <c r="F259" i="3"/>
  <c r="F258" i="3"/>
  <c r="F257" i="3"/>
  <c r="F256" i="3"/>
  <c r="F253" i="3"/>
  <c r="F252" i="3"/>
  <c r="F251" i="3"/>
  <c r="F250" i="3"/>
  <c r="F249" i="3"/>
  <c r="F248" i="3"/>
  <c r="F247" i="3"/>
  <c r="F246" i="3"/>
  <c r="F245" i="3"/>
  <c r="F244" i="3"/>
  <c r="F243" i="3"/>
  <c r="F242" i="3"/>
  <c r="F241" i="3"/>
  <c r="F240" i="3"/>
  <c r="F239" i="3"/>
  <c r="F238" i="3"/>
  <c r="F235" i="3"/>
  <c r="F234" i="3"/>
  <c r="F233" i="3"/>
  <c r="F232" i="3"/>
  <c r="F231" i="3"/>
  <c r="F230" i="3"/>
  <c r="F229" i="3"/>
  <c r="F228" i="3"/>
  <c r="F227" i="3"/>
  <c r="F226" i="3"/>
  <c r="F225" i="3"/>
  <c r="F224" i="3"/>
  <c r="F223" i="3"/>
  <c r="F222" i="3"/>
  <c r="F221" i="3"/>
  <c r="F220" i="3"/>
  <c r="F217" i="3"/>
  <c r="F216" i="3"/>
  <c r="F215" i="3"/>
  <c r="F214" i="3"/>
  <c r="F213" i="3"/>
  <c r="F212" i="3"/>
  <c r="F211" i="3"/>
  <c r="F210" i="3"/>
  <c r="F209" i="3"/>
  <c r="F208" i="3"/>
  <c r="F207" i="3"/>
  <c r="F206" i="3"/>
  <c r="F205" i="3"/>
  <c r="F204" i="3"/>
  <c r="F203" i="3"/>
  <c r="F202" i="3"/>
  <c r="F199" i="3"/>
  <c r="F198" i="3"/>
  <c r="F197" i="3"/>
  <c r="I19" i="66" s="1"/>
  <c r="F196" i="3"/>
  <c r="I18" i="66" s="1"/>
  <c r="F195" i="3"/>
  <c r="I17" i="66" s="1"/>
  <c r="F194" i="3"/>
  <c r="I16" i="66" s="1"/>
  <c r="F193" i="3"/>
  <c r="X15" i="66" s="1"/>
  <c r="F192" i="3"/>
  <c r="R15" i="66" s="1"/>
  <c r="F191" i="3"/>
  <c r="J15" i="66" s="1"/>
  <c r="F190" i="3"/>
  <c r="F189" i="3"/>
  <c r="F188" i="3"/>
  <c r="I14" i="66" s="1"/>
  <c r="F187" i="3"/>
  <c r="X13" i="66" s="1"/>
  <c r="F186" i="3"/>
  <c r="R13" i="66" s="1"/>
  <c r="F185" i="3"/>
  <c r="J13" i="66" s="1"/>
  <c r="F184" i="3"/>
  <c r="F181" i="3"/>
  <c r="F180" i="3"/>
  <c r="I42" i="83" s="1"/>
  <c r="F179" i="3"/>
  <c r="I41" i="83" s="1"/>
  <c r="F178" i="3"/>
  <c r="I39" i="83" s="1"/>
  <c r="F177" i="3"/>
  <c r="I40" i="83" s="1"/>
  <c r="F176" i="3"/>
  <c r="F175" i="3"/>
  <c r="F174" i="3"/>
  <c r="F173" i="3"/>
  <c r="F170" i="3"/>
  <c r="F169" i="3"/>
  <c r="I37" i="83" s="1"/>
  <c r="F168" i="3"/>
  <c r="I36" i="83" s="1"/>
  <c r="F167" i="3"/>
  <c r="I34" i="83" s="1"/>
  <c r="F166" i="3"/>
  <c r="I35" i="83" s="1"/>
  <c r="F165" i="3"/>
  <c r="F164" i="3"/>
  <c r="F163" i="3"/>
  <c r="F162" i="3"/>
  <c r="F159" i="3"/>
  <c r="F158" i="3"/>
  <c r="I32" i="83" s="1"/>
  <c r="F157" i="3"/>
  <c r="F148" i="3" s="1"/>
  <c r="F156" i="3"/>
  <c r="I29" i="83" s="1"/>
  <c r="F155" i="3"/>
  <c r="I30" i="83" s="1"/>
  <c r="F154" i="3"/>
  <c r="F153" i="3"/>
  <c r="F152" i="3"/>
  <c r="F151" i="3"/>
  <c r="F147" i="3"/>
  <c r="F146" i="3"/>
  <c r="I27" i="83" s="1"/>
  <c r="F145" i="3"/>
  <c r="I26" i="83" s="1"/>
  <c r="F144" i="3"/>
  <c r="I24" i="83" s="1"/>
  <c r="F143" i="3"/>
  <c r="I25" i="83" s="1"/>
  <c r="F142" i="3"/>
  <c r="F141" i="3"/>
  <c r="F140" i="3"/>
  <c r="F139" i="3"/>
  <c r="F136" i="3"/>
  <c r="F135" i="3"/>
  <c r="V8" i="73" s="1"/>
  <c r="F134" i="3"/>
  <c r="I22" i="83" s="1"/>
  <c r="F133" i="3"/>
  <c r="I21" i="83" s="1"/>
  <c r="F132" i="3"/>
  <c r="I19" i="83" s="1"/>
  <c r="F131" i="3"/>
  <c r="W123" i="74" s="1"/>
  <c r="F130" i="3"/>
  <c r="F129" i="3"/>
  <c r="F128" i="3"/>
  <c r="F127" i="3"/>
  <c r="F123" i="3"/>
  <c r="V7" i="73" s="1"/>
  <c r="F122" i="3"/>
  <c r="I17" i="83" s="1"/>
  <c r="F121" i="3"/>
  <c r="I16" i="83" s="1"/>
  <c r="F120" i="3"/>
  <c r="I14" i="83" s="1"/>
  <c r="F119" i="3"/>
  <c r="T9" i="74" s="1"/>
  <c r="F118" i="3"/>
  <c r="F117" i="3"/>
  <c r="F116" i="3"/>
  <c r="F115" i="3"/>
  <c r="F111" i="3"/>
  <c r="V6" i="73" s="1"/>
  <c r="F110" i="3"/>
  <c r="I12" i="83" s="1"/>
  <c r="F109" i="3"/>
  <c r="I11" i="83" s="1"/>
  <c r="F108" i="3"/>
  <c r="I9" i="83" s="1"/>
  <c r="F107" i="3"/>
  <c r="T8" i="74" s="1"/>
  <c r="F106" i="3"/>
  <c r="F105" i="3"/>
  <c r="F104" i="3"/>
  <c r="F103" i="3"/>
  <c r="F99" i="3"/>
  <c r="F100" i="3" s="1"/>
  <c r="F97" i="3"/>
  <c r="V5" i="73" s="1"/>
  <c r="F96" i="3"/>
  <c r="I7" i="83" s="1"/>
  <c r="F95" i="3"/>
  <c r="I6" i="83" s="1"/>
  <c r="F94" i="3"/>
  <c r="I4" i="83" s="1"/>
  <c r="F93" i="3"/>
  <c r="I5" i="83" s="1"/>
  <c r="F92" i="3"/>
  <c r="F91" i="3"/>
  <c r="F90" i="3"/>
  <c r="F89" i="3"/>
  <c r="F86" i="3"/>
  <c r="G21" i="109" s="1"/>
  <c r="F85" i="3"/>
  <c r="E12" i="105" s="1"/>
  <c r="F84" i="3"/>
  <c r="F82" i="3"/>
  <c r="I19" i="113" s="1"/>
  <c r="F81" i="3"/>
  <c r="T62" i="74" s="1"/>
  <c r="F80" i="3"/>
  <c r="F79" i="3"/>
  <c r="T61" i="74" s="1"/>
  <c r="F76" i="3"/>
  <c r="F75" i="3"/>
  <c r="T6" i="74" s="1"/>
  <c r="F74" i="3"/>
  <c r="F73" i="3"/>
  <c r="F72" i="3"/>
  <c r="F71" i="3"/>
  <c r="F68" i="3"/>
  <c r="F65" i="3"/>
  <c r="F58" i="3"/>
  <c r="F57" i="3"/>
  <c r="F56" i="3"/>
  <c r="F55" i="3"/>
  <c r="F53" i="3"/>
  <c r="Y8" i="105" s="1"/>
  <c r="F51" i="3"/>
  <c r="F50" i="3"/>
  <c r="F49" i="3"/>
  <c r="F48" i="3"/>
  <c r="F45" i="3"/>
  <c r="F43" i="3"/>
  <c r="N33" i="105" s="1"/>
  <c r="F41" i="3"/>
  <c r="F40" i="3"/>
  <c r="F38" i="3"/>
  <c r="F36" i="3"/>
  <c r="F33" i="3"/>
  <c r="F32" i="3"/>
  <c r="F24" i="3"/>
  <c r="F20" i="3"/>
  <c r="F19" i="3"/>
  <c r="F18" i="3"/>
  <c r="F17" i="3"/>
  <c r="F13" i="3"/>
  <c r="F12" i="3"/>
  <c r="F11" i="3"/>
  <c r="F9" i="3"/>
  <c r="F7" i="3"/>
  <c r="B55" i="1"/>
  <c r="F6" i="112" l="1"/>
  <c r="M29" i="112"/>
  <c r="Z50" i="112"/>
  <c r="I81" i="112"/>
  <c r="E16" i="105"/>
  <c r="I136" i="74"/>
  <c r="Q6" i="112"/>
  <c r="G31" i="112"/>
  <c r="M51" i="68"/>
  <c r="E23" i="105"/>
  <c r="I4" i="73"/>
  <c r="N31" i="112"/>
  <c r="M34" i="68"/>
  <c r="J57" i="68"/>
  <c r="X22" i="66"/>
  <c r="L8" i="112"/>
  <c r="F6" i="68"/>
  <c r="S37" i="68"/>
  <c r="J58" i="68"/>
  <c r="O46" i="105"/>
  <c r="H63" i="68"/>
  <c r="I25" i="66"/>
  <c r="M14" i="112"/>
  <c r="S36" i="112"/>
  <c r="W6" i="68"/>
  <c r="J28" i="73"/>
  <c r="I27" i="66"/>
  <c r="I17" i="112"/>
  <c r="Z39" i="112"/>
  <c r="Q47" i="105"/>
  <c r="S17" i="112"/>
  <c r="M59" i="112"/>
  <c r="L8" i="68"/>
  <c r="V60" i="68"/>
  <c r="P23" i="113"/>
  <c r="Q30" i="73"/>
  <c r="I16" i="68"/>
  <c r="F69" i="68"/>
  <c r="P61" i="105"/>
  <c r="M42" i="112"/>
  <c r="J64" i="112"/>
  <c r="M42" i="68"/>
  <c r="J69" i="68"/>
  <c r="I21" i="74"/>
  <c r="T63" i="74"/>
  <c r="F98" i="3"/>
  <c r="S18" i="112"/>
  <c r="X17" i="68"/>
  <c r="Z43" i="68"/>
  <c r="Q69" i="68"/>
  <c r="F841" i="3"/>
  <c r="X18" i="112"/>
  <c r="J72" i="112"/>
  <c r="M44" i="68"/>
  <c r="J70" i="68"/>
  <c r="T65" i="74"/>
  <c r="F112" i="3"/>
  <c r="X20" i="112"/>
  <c r="M47" i="112"/>
  <c r="W88" i="105"/>
  <c r="J23" i="112"/>
  <c r="Q74" i="112"/>
  <c r="I22" i="68"/>
  <c r="S47" i="68"/>
  <c r="W94" i="105"/>
  <c r="W66" i="105" s="1"/>
  <c r="K77" i="74"/>
  <c r="I10" i="83"/>
  <c r="F78" i="3"/>
  <c r="I8" i="66" s="1"/>
  <c r="F83" i="3"/>
  <c r="B2" i="116" s="1"/>
  <c r="F1103" i="3"/>
  <c r="Q25" i="112"/>
  <c r="F75" i="112"/>
  <c r="S22" i="68"/>
  <c r="I82" i="74"/>
  <c r="H65" i="68"/>
  <c r="H27" i="112"/>
  <c r="S48" i="112"/>
  <c r="Q26" i="68"/>
  <c r="I149" i="66"/>
  <c r="M50" i="112"/>
  <c r="E14" i="105"/>
  <c r="AB134" i="74"/>
  <c r="G23" i="109"/>
  <c r="M6" i="112"/>
  <c r="N17" i="112"/>
  <c r="J24" i="112"/>
  <c r="S50" i="112"/>
  <c r="M58" i="112"/>
  <c r="J71" i="112"/>
  <c r="N16" i="68"/>
  <c r="N22" i="68"/>
  <c r="N32" i="68"/>
  <c r="M47" i="68"/>
  <c r="R57" i="68"/>
  <c r="E15" i="105"/>
  <c r="M46" i="105"/>
  <c r="U61" i="105"/>
  <c r="N95" i="105"/>
  <c r="I22" i="113"/>
  <c r="U60" i="113"/>
  <c r="M27" i="73"/>
  <c r="T10" i="74"/>
  <c r="T64" i="74"/>
  <c r="W117" i="74"/>
  <c r="I135" i="74"/>
  <c r="G17" i="110"/>
  <c r="G23" i="110"/>
  <c r="T11" i="74"/>
  <c r="W118" i="74"/>
  <c r="F62" i="3"/>
  <c r="F825" i="3"/>
  <c r="F1316" i="3"/>
  <c r="I28" i="66"/>
  <c r="W6" i="112"/>
  <c r="Z36" i="112"/>
  <c r="J61" i="112"/>
  <c r="F74" i="112"/>
  <c r="G4" i="68"/>
  <c r="X16" i="68"/>
  <c r="X22" i="68"/>
  <c r="S42" i="68"/>
  <c r="Z47" i="68"/>
  <c r="R58" i="68"/>
  <c r="E18" i="105"/>
  <c r="Q46" i="105"/>
  <c r="I24" i="113"/>
  <c r="M61" i="113"/>
  <c r="V4" i="73"/>
  <c r="O28" i="73"/>
  <c r="I16" i="74"/>
  <c r="T66" i="74"/>
  <c r="W119" i="74"/>
  <c r="I137" i="74"/>
  <c r="I31" i="83"/>
  <c r="G16" i="111"/>
  <c r="F826" i="3"/>
  <c r="F1317" i="3"/>
  <c r="F7" i="112"/>
  <c r="M37" i="112"/>
  <c r="R61" i="112"/>
  <c r="J23" i="68"/>
  <c r="Z42" i="68"/>
  <c r="E20" i="105"/>
  <c r="I25" i="113"/>
  <c r="Q61" i="113"/>
  <c r="K92" i="113"/>
  <c r="I5" i="73"/>
  <c r="U28" i="73"/>
  <c r="K20" i="74"/>
  <c r="T67" i="74"/>
  <c r="W120" i="74"/>
  <c r="G22" i="111"/>
  <c r="F77" i="3"/>
  <c r="I144" i="66"/>
  <c r="M7" i="112"/>
  <c r="M39" i="112"/>
  <c r="M6" i="68"/>
  <c r="Q70" i="68"/>
  <c r="E21" i="105"/>
  <c r="M47" i="105"/>
  <c r="U61" i="113"/>
  <c r="T92" i="113"/>
  <c r="R20" i="74"/>
  <c r="T68" i="74"/>
  <c r="W121" i="74"/>
  <c r="F1139" i="3"/>
  <c r="H68" i="112" s="1"/>
  <c r="Q6" i="68"/>
  <c r="S43" i="68"/>
  <c r="S60" i="68"/>
  <c r="F71" i="68"/>
  <c r="E22" i="105"/>
  <c r="O47" i="105"/>
  <c r="I31" i="113"/>
  <c r="I6" i="73"/>
  <c r="Z20" i="74"/>
  <c r="W122" i="74"/>
  <c r="I15" i="83"/>
  <c r="I111" i="66"/>
  <c r="Q8" i="112"/>
  <c r="I20" i="112"/>
  <c r="K31" i="112"/>
  <c r="M41" i="112"/>
  <c r="F7" i="68"/>
  <c r="S49" i="68"/>
  <c r="F62" i="68"/>
  <c r="I33" i="113"/>
  <c r="Z73" i="113"/>
  <c r="T104" i="113"/>
  <c r="I7" i="73"/>
  <c r="E49" i="73"/>
  <c r="K22" i="74"/>
  <c r="R77" i="74"/>
  <c r="W124" i="74"/>
  <c r="J22" i="66"/>
  <c r="G10" i="112"/>
  <c r="N20" i="112"/>
  <c r="M7" i="68"/>
  <c r="Z49" i="68"/>
  <c r="M62" i="68"/>
  <c r="E27" i="105"/>
  <c r="I34" i="113"/>
  <c r="J74" i="113"/>
  <c r="AC104" i="113"/>
  <c r="AB84" i="113" s="1"/>
  <c r="E50" i="73"/>
  <c r="S22" i="74"/>
  <c r="Z77" i="74"/>
  <c r="I128" i="74"/>
  <c r="J71" i="68"/>
  <c r="P32" i="113"/>
  <c r="F124" i="3"/>
  <c r="R22" i="66"/>
  <c r="M13" i="112"/>
  <c r="S20" i="112"/>
  <c r="Q31" i="112"/>
  <c r="M29" i="68"/>
  <c r="Z44" i="68"/>
  <c r="M50" i="68"/>
  <c r="T62" i="68"/>
  <c r="E28" i="105"/>
  <c r="AA10" i="113"/>
  <c r="I35" i="113"/>
  <c r="Z74" i="113"/>
  <c r="M106" i="113"/>
  <c r="J84" i="113" s="1"/>
  <c r="I8" i="73"/>
  <c r="E51" i="73"/>
  <c r="AB22" i="74"/>
  <c r="I78" i="74"/>
  <c r="I20" i="83"/>
  <c r="I9" i="66"/>
  <c r="T31" i="112"/>
  <c r="G31" i="68"/>
  <c r="M45" i="68"/>
  <c r="E29" i="105"/>
  <c r="I92" i="105"/>
  <c r="I66" i="105" s="1"/>
  <c r="AD10" i="113"/>
  <c r="N39" i="113"/>
  <c r="J75" i="113"/>
  <c r="V106" i="113"/>
  <c r="T4" i="74"/>
  <c r="I23" i="74"/>
  <c r="K79" i="74"/>
  <c r="I2" i="1"/>
  <c r="I10" i="66"/>
  <c r="I23" i="66"/>
  <c r="N150" i="66"/>
  <c r="S42" i="112"/>
  <c r="K31" i="68"/>
  <c r="S45" i="68"/>
  <c r="U8" i="105"/>
  <c r="E30" i="105"/>
  <c r="AG10" i="113"/>
  <c r="S39" i="113"/>
  <c r="J78" i="113"/>
  <c r="G9" i="73"/>
  <c r="T5" i="74"/>
  <c r="I24" i="74"/>
  <c r="S79" i="74"/>
  <c r="B3" i="116"/>
  <c r="G2" i="1"/>
  <c r="J2" i="1"/>
  <c r="I11" i="66"/>
  <c r="J24" i="66"/>
  <c r="Z42" i="112"/>
  <c r="N31" i="68"/>
  <c r="Z45" i="68"/>
  <c r="W8" i="105"/>
  <c r="J33" i="105"/>
  <c r="I16" i="113"/>
  <c r="X39" i="113"/>
  <c r="O78" i="113"/>
  <c r="AB79" i="74"/>
  <c r="G19" i="108"/>
  <c r="H2" i="1"/>
  <c r="K2" i="1"/>
  <c r="R24" i="66"/>
  <c r="G3" i="112"/>
  <c r="M44" i="112"/>
  <c r="M13" i="68"/>
  <c r="Q31" i="68"/>
  <c r="J66" i="68"/>
  <c r="L33" i="105"/>
  <c r="I17" i="113"/>
  <c r="T7" i="74"/>
  <c r="G23" i="108"/>
  <c r="I18" i="113"/>
  <c r="F16" i="3"/>
  <c r="F15" i="3"/>
  <c r="F14" i="3"/>
  <c r="F1299" i="3"/>
  <c r="F1254" i="3"/>
  <c r="F1253" i="3"/>
  <c r="F1252" i="3"/>
  <c r="F1251" i="3"/>
  <c r="F1250" i="3"/>
  <c r="F1240" i="3"/>
  <c r="F1239" i="3"/>
  <c r="F1238" i="3"/>
  <c r="F1237" i="3"/>
  <c r="F1236" i="3"/>
  <c r="F1204" i="3"/>
  <c r="F1202" i="3"/>
  <c r="F1201" i="3"/>
  <c r="F1200" i="3"/>
  <c r="F1197" i="3"/>
  <c r="F1194" i="3"/>
  <c r="F63" i="3"/>
  <c r="F60" i="3"/>
  <c r="F30" i="3"/>
  <c r="F29" i="3"/>
  <c r="F28" i="3"/>
  <c r="F27" i="3"/>
  <c r="F26" i="3"/>
  <c r="F25" i="3"/>
  <c r="H18" i="90"/>
  <c r="G18" i="90"/>
  <c r="F18" i="90"/>
  <c r="E18" i="90"/>
  <c r="E34" i="1" l="1"/>
  <c r="D34" i="1" s="1"/>
  <c r="B34" i="1" s="1"/>
  <c r="E36" i="1"/>
  <c r="D36" i="1" s="1"/>
  <c r="B36" i="1" s="1"/>
  <c r="E39" i="1"/>
  <c r="D39" i="1" s="1"/>
  <c r="B39" i="1" s="1"/>
  <c r="E38" i="1"/>
  <c r="D38" i="1" s="1"/>
  <c r="E15" i="1"/>
  <c r="D15" i="1" s="1"/>
  <c r="B15" i="1" s="1"/>
  <c r="E22" i="1"/>
  <c r="D22" i="1" s="1"/>
  <c r="B22" i="1" s="1"/>
  <c r="S84" i="113"/>
  <c r="E29" i="1"/>
  <c r="D29" i="1" s="1"/>
  <c r="B29" i="1" s="1"/>
  <c r="E14" i="1"/>
  <c r="D14" i="1" s="1"/>
  <c r="E24" i="1"/>
  <c r="D24" i="1" s="1"/>
  <c r="B24" i="1" s="1"/>
  <c r="E48" i="1"/>
  <c r="D48" i="1" s="1"/>
  <c r="B48" i="1" s="1"/>
  <c r="E26" i="1"/>
  <c r="D26" i="1" s="1"/>
  <c r="E20" i="1"/>
  <c r="D20" i="1" s="1"/>
  <c r="B20" i="1" s="1"/>
  <c r="E46" i="1"/>
  <c r="D46" i="1" s="1"/>
  <c r="B46" i="1" s="1"/>
  <c r="E31" i="1"/>
  <c r="D31" i="1" s="1"/>
  <c r="B31" i="1" s="1"/>
  <c r="E41" i="1"/>
  <c r="D41" i="1" s="1"/>
  <c r="B41" i="1" s="1"/>
  <c r="E30" i="1"/>
  <c r="D30" i="1" s="1"/>
  <c r="B30" i="1" s="1"/>
  <c r="E12" i="1"/>
  <c r="D12" i="1" s="1"/>
  <c r="B12" i="1" s="1"/>
  <c r="E35" i="1"/>
  <c r="D35" i="1" s="1"/>
  <c r="B35" i="1" s="1"/>
  <c r="E37" i="1"/>
  <c r="D37" i="1" s="1"/>
  <c r="B37" i="1" s="1"/>
  <c r="E43" i="1"/>
  <c r="D43" i="1" s="1"/>
  <c r="B43" i="1" s="1"/>
  <c r="E42" i="1"/>
  <c r="D42" i="1" s="1"/>
  <c r="B42" i="1" s="1"/>
  <c r="E25" i="1"/>
  <c r="D25" i="1" s="1"/>
  <c r="B25" i="1" s="1"/>
  <c r="E19" i="1"/>
  <c r="D19" i="1" s="1"/>
  <c r="B19" i="1" s="1"/>
  <c r="E13" i="1"/>
  <c r="D13" i="1" s="1"/>
  <c r="E18" i="1"/>
  <c r="D18" i="1" s="1"/>
  <c r="B18" i="1" s="1"/>
  <c r="E27" i="1"/>
  <c r="D27" i="1" s="1"/>
  <c r="B27" i="1" s="1"/>
  <c r="E47" i="1"/>
  <c r="D47" i="1" s="1"/>
  <c r="B47" i="1" s="1"/>
  <c r="E44" i="1"/>
  <c r="D44" i="1" s="1"/>
  <c r="B44" i="1" s="1"/>
  <c r="E21" i="1"/>
  <c r="D21" i="1" s="1"/>
  <c r="B21" i="1" s="1"/>
  <c r="E53" i="1"/>
  <c r="D53" i="1" s="1"/>
  <c r="B53" i="1" s="1"/>
  <c r="E28" i="1"/>
  <c r="D28" i="1" s="1"/>
  <c r="B28" i="1" s="1"/>
  <c r="E33" i="1"/>
  <c r="D33" i="1" s="1"/>
  <c r="E32" i="1"/>
  <c r="D32" i="1" s="1"/>
  <c r="B32" i="1" s="1"/>
  <c r="E23" i="1"/>
  <c r="D23" i="1" s="1"/>
  <c r="E45" i="1"/>
  <c r="D45" i="1" s="1"/>
  <c r="B45" i="1" s="1"/>
  <c r="J85" i="113"/>
  <c r="E16" i="1"/>
  <c r="D16" i="1" s="1"/>
  <c r="B16" i="1" s="1"/>
  <c r="E17" i="1"/>
  <c r="D17" i="1" s="1"/>
  <c r="E49" i="1"/>
  <c r="D49" i="1" s="1"/>
  <c r="B49" i="1" s="1"/>
  <c r="E40" i="1"/>
  <c r="D40" i="1" s="1"/>
  <c r="B40" i="1" s="1"/>
  <c r="L40" i="113"/>
  <c r="I34" i="105"/>
  <c r="F1261" i="3"/>
  <c r="F1260" i="3"/>
  <c r="F1259" i="3"/>
  <c r="F1258" i="3"/>
  <c r="F1257" i="3"/>
  <c r="F1247" i="3"/>
  <c r="F1246" i="3"/>
  <c r="F1245" i="3"/>
  <c r="F1244" i="3"/>
  <c r="F1243" i="3"/>
  <c r="F1287" i="3"/>
  <c r="F1286" i="3"/>
  <c r="F1285" i="3"/>
  <c r="F1277" i="3"/>
  <c r="F1276" i="3"/>
  <c r="F1275" i="3"/>
  <c r="F1292" i="3"/>
  <c r="F1291" i="3"/>
  <c r="F1290" i="3"/>
  <c r="F1282" i="3"/>
  <c r="F1281" i="3"/>
  <c r="F1280" i="3"/>
  <c r="F1328" i="3"/>
  <c r="F1327" i="3"/>
  <c r="F1326" i="3"/>
  <c r="F1325" i="3"/>
  <c r="F1324" i="3"/>
  <c r="F1313" i="3"/>
  <c r="F1312" i="3"/>
  <c r="F1311" i="3"/>
  <c r="F1310" i="3"/>
  <c r="F1309" i="3"/>
  <c r="AE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t-hori</author>
  </authors>
  <commentList>
    <comment ref="R62" authorId="0" shapeId="0" xr:uid="{00000000-0006-0000-0C00-000001000000}">
      <text>
        <r>
          <rPr>
            <b/>
            <sz val="9"/>
            <color indexed="81"/>
            <rFont val="ＭＳ Ｐゴシック"/>
            <charset val="128"/>
          </rPr>
          <t>左側のプルダウンを選択すると
自動的に区分内容が表示されます</t>
        </r>
      </text>
    </comment>
    <comment ref="R113" authorId="0" shapeId="0" xr:uid="{00000000-0006-0000-0C00-000002000000}">
      <text>
        <r>
          <rPr>
            <b/>
            <sz val="9"/>
            <color indexed="81"/>
            <rFont val="ＭＳ Ｐゴシック"/>
            <charset val="128"/>
          </rPr>
          <t>左側のプルダウンを選択すると
自動的に区分内容が表示されます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7" authorId="0" shapeId="0" xr:uid="{00000000-0006-0000-0D00-000001000000}">
      <text>
        <r>
          <rPr>
            <sz val="12"/>
            <color indexed="81"/>
            <rFont val="ＭＳ Ｐゴシック"/>
            <charset val="128"/>
            <scheme val="minor"/>
          </rPr>
          <t>【イ．建築主の種別】において「(４)会社」を選択した場合のみ選択記入ください</t>
        </r>
      </text>
    </comment>
    <comment ref="B84" authorId="0" shapeId="0" xr:uid="{00000000-0006-0000-0D00-000002000000}">
      <text>
        <r>
          <rPr>
            <sz val="12"/>
            <color indexed="81"/>
            <rFont val="ＭＳ Ｐゴシック"/>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D00-000003000000}">
      <text>
        <r>
          <rPr>
            <sz val="12"/>
            <color indexed="81"/>
            <rFont val="ＭＳ Ｐゴシック"/>
            <charset val="128"/>
            <scheme val="minor"/>
          </rPr>
          <t>（第二面）の【６．一の建築物ごとの内容】【イ．番号】と同じ番号を記入し、
複数棟ある場合、別シートの「追加記入欄」に2棟目以降を記入してください</t>
        </r>
      </text>
    </comment>
    <comment ref="B128" authorId="0" shapeId="0" xr:uid="{00000000-0006-0000-0D00-000004000000}">
      <text>
        <r>
          <rPr>
            <sz val="12"/>
            <color indexed="81"/>
            <rFont val="ＭＳ Ｐゴシック"/>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D00-000005000000}">
      <text>
        <r>
          <rPr>
            <sz val="12"/>
            <color indexed="81"/>
            <rFont val="ＭＳ Ｐゴシック"/>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1F00-000001000000}">
      <text>
        <r>
          <rPr>
            <sz val="9"/>
            <color indexed="81"/>
            <rFont val="ＭＳ Ｐゴシック"/>
            <charset val="128"/>
          </rPr>
          <t>右クリック貼り付けで
図面添付できます。</t>
        </r>
      </text>
    </comment>
    <comment ref="C27" authorId="0" shapeId="0" xr:uid="{00000000-0006-0000-1F00-000002000000}">
      <text>
        <r>
          <rPr>
            <sz val="9"/>
            <color indexed="81"/>
            <rFont val="ＭＳ Ｐゴシック"/>
            <charset val="128"/>
          </rPr>
          <t xml:space="preserve">右クリック貼り付けで
図面添付できます。
</t>
        </r>
      </text>
    </comment>
  </commentList>
</comments>
</file>

<file path=xl/sharedStrings.xml><?xml version="1.0" encoding="utf-8"?>
<sst xmlns="http://schemas.openxmlformats.org/spreadsheetml/2006/main" count="7400" uniqueCount="3877">
  <si>
    <t>シート名
※重複不可</t>
  </si>
  <si>
    <t>showsheetflag_****
  1=表示
  0=削除
 -1=非表示
 -2=シート非表示（再表示不可）</t>
  </si>
  <si>
    <t>備考</t>
  </si>
  <si>
    <t>出力処理</t>
  </si>
  <si>
    <t>出力条件</t>
  </si>
  <si>
    <t>確認申請添付書類</t>
  </si>
  <si>
    <t>軽微_記変_概要書等</t>
  </si>
  <si>
    <t>中間検査添付書類</t>
  </si>
  <si>
    <t>完了検査添付書類</t>
  </si>
  <si>
    <t>取り下げ_取りやめ_証明願等</t>
  </si>
  <si>
    <t>dSTART</t>
  </si>
  <si>
    <t>dSHEET</t>
  </si>
  <si>
    <t>DATA</t>
  </si>
  <si>
    <t>dAName</t>
  </si>
  <si>
    <t>cst_DATA</t>
  </si>
  <si>
    <t>項目リスト</t>
  </si>
  <si>
    <t>用途の区分</t>
  </si>
  <si>
    <t>リスト</t>
  </si>
  <si>
    <t>説明</t>
  </si>
  <si>
    <t>建築概要一面</t>
  </si>
  <si>
    <t>概要二面</t>
  </si>
  <si>
    <t>建築工事届</t>
  </si>
  <si>
    <t>建築工事届_2410</t>
  </si>
  <si>
    <t>敷地調査票</t>
  </si>
  <si>
    <t>AKC敷調別紙1</t>
  </si>
  <si>
    <t>消防工事計画届</t>
  </si>
  <si>
    <t>中間四面</t>
  </si>
  <si>
    <t>完了四面</t>
  </si>
  <si>
    <t>別紙_建築主</t>
  </si>
  <si>
    <t>別紙_建築主_概要書用</t>
  </si>
  <si>
    <t>別紙_代理者</t>
  </si>
  <si>
    <t>別紙_設計者</t>
  </si>
  <si>
    <t>別紙_監理者</t>
  </si>
  <si>
    <t>別紙_施工者</t>
  </si>
  <si>
    <t>確認審査取り下げ_済証交付前</t>
  </si>
  <si>
    <t>工事取りやめ_済証交付後</t>
  </si>
  <si>
    <t>中間_完了取り下げ</t>
  </si>
  <si>
    <t>証明願</t>
  </si>
  <si>
    <t>海部建設地調書</t>
  </si>
  <si>
    <t>浄化槽調書</t>
  </si>
  <si>
    <t>浄化槽工事完了報告書</t>
  </si>
  <si>
    <t>軽微変更報告書</t>
  </si>
  <si>
    <t>申請書等記載事項変更届</t>
  </si>
  <si>
    <t>委任状</t>
  </si>
  <si>
    <t>換気計算等</t>
  </si>
  <si>
    <t>安全証明書</t>
  </si>
  <si>
    <t>確認必要図書</t>
  </si>
  <si>
    <t>検査必要図書</t>
  </si>
  <si>
    <t>チェックシート</t>
  </si>
  <si>
    <t>チェックシート_検査</t>
  </si>
  <si>
    <t>建築計画概要書第三面</t>
  </si>
  <si>
    <t>NoObject</t>
  </si>
  <si>
    <t>※最後にNoObjectを記述</t>
  </si>
  <si>
    <t>※このシートをアクティブにして保存すること</t>
  </si>
  <si>
    <t>日付</t>
  </si>
  <si>
    <t>変更内容</t>
  </si>
  <si>
    <t>寺田</t>
  </si>
  <si>
    <t>委任状_確認等　シートを非表示、建築工事届　建築主名を縮小して表示・印削除・日付を西暦に変更</t>
  </si>
  <si>
    <t>三木香澄</t>
  </si>
  <si>
    <t>建築工事届の【6.一の建築物ごとの内容】のリンク先修正</t>
  </si>
  <si>
    <t>別紙_設計者2のリンク先修正、表示人数を五人ずつに</t>
  </si>
  <si>
    <t>届出関係の確認済証交付日等のリンク先を修正</t>
  </si>
  <si>
    <t>交付日の日付表示を修正</t>
  </si>
  <si>
    <t>徳永</t>
  </si>
  <si>
    <t>現場検査連絡票　中間・完了のシートを非表示設定</t>
  </si>
  <si>
    <t>DATAシートに入力されている文字を削除</t>
  </si>
  <si>
    <t>建築概要一面、第二面を追加</t>
  </si>
  <si>
    <t>築造概要書一面、築造概要書二面を追加（非表示）</t>
  </si>
  <si>
    <t>建築計画概要書第三面を追加</t>
  </si>
  <si>
    <t>出力シートを変更</t>
  </si>
  <si>
    <t>概要二面を法改正対応版に変更（2020/3/31夜間アップ）</t>
  </si>
  <si>
    <t>（18.建築基準法第12条第３項の規定による検査を要する防火設備の有無を追加）</t>
  </si>
  <si>
    <t>DATAシートを差し替え、日付表示を変更</t>
  </si>
  <si>
    <t>印刷範囲、白黒印刷設定</t>
  </si>
  <si>
    <t>委任状　下部その他の建築主　リンク先修正</t>
  </si>
  <si>
    <t>建築工事届　面積部分の表示設定を修正</t>
  </si>
  <si>
    <t>概要二面　印刷範囲修正</t>
  </si>
  <si>
    <t>dSHEETをクエリと合うように修正</t>
  </si>
  <si>
    <t>印刷範囲修正</t>
  </si>
  <si>
    <t>建築計画概要書第三面　フォントの大きさ修正</t>
  </si>
  <si>
    <t>dANameシート追加、建築工事届、建築概要一面、浄化槽調書　番号テンプレート及び日付（　　年　　月　　日）追加</t>
  </si>
  <si>
    <t>建築概要一面のレイアウト修正</t>
  </si>
  <si>
    <t>敷地調査票差し替え、別紙1追加</t>
  </si>
  <si>
    <t>軽微変更報告書、申請書等記載事項変更届の差し替え</t>
  </si>
  <si>
    <t>軽微変更報告書、申請書等記載事項変更届、委任状、敷地調査票、別紙１（シート名をAKC敷調別紙1に変更）シート差し替え</t>
  </si>
  <si>
    <t>武下</t>
  </si>
  <si>
    <t>委任状　修正依頼対応</t>
  </si>
  <si>
    <t>建築概要一面　法改正対応</t>
  </si>
  <si>
    <t>ｄSHEET-2対応</t>
  </si>
  <si>
    <t>押印削除（建築工事届、浄化槽工事完了届、軽微変更、記載事項変更届、委任状）</t>
  </si>
  <si>
    <t>浄化槽工事完了届、軽微変更、記載事項変更届　注意文修正</t>
  </si>
  <si>
    <t>チェックシート追加、中間四面2削除</t>
  </si>
  <si>
    <t>チェックシート差し替え対応</t>
  </si>
  <si>
    <t>概要一面　建築主リンク先修正</t>
  </si>
  <si>
    <t>浄化槽工事完了報告書修正</t>
  </si>
  <si>
    <t>飯島</t>
  </si>
  <si>
    <t>軽微変更報告書 / 申請書等記載事項変更届シート　レイアウト修正</t>
  </si>
  <si>
    <t>基準法　法改正対応</t>
  </si>
  <si>
    <t>概要二面5.　リンク先をWebkakunin2101に揃える、工事届■→☑</t>
  </si>
  <si>
    <t>項目リストに「工事届用主要用途区分」追加</t>
  </si>
  <si>
    <t>委任状修正</t>
  </si>
  <si>
    <t>取り下げ_取りやめ_証明願等　より出力するシートの追加、チェックシート差し替え</t>
  </si>
  <si>
    <t>取り下げ_取りやめ_証明願等　より出力時に委任状も出力</t>
  </si>
  <si>
    <t>三木</t>
  </si>
  <si>
    <t>チェックシートの出力設定を解除</t>
  </si>
  <si>
    <t>建築概要一面、工事届、浄化槽調書　修正</t>
  </si>
  <si>
    <t>法改正対応</t>
  </si>
  <si>
    <t>田口</t>
  </si>
  <si>
    <t>取下げ・取りやめ　シート差し替え</t>
  </si>
  <si>
    <t>概要一面、工事届、浄化槽調書　修正</t>
  </si>
  <si>
    <t>浄化槽調書　2ページ目削除/浄化槽工事完了報告書2、3ページ目削除</t>
  </si>
  <si>
    <t>知多事務所閉鎖処理　（消防工事計画届　知多事務所・尾張事務所削除）</t>
  </si>
  <si>
    <t>浄化槽調書/浄化槽工事完了報告書　4　構造方法の区分欄　修正</t>
  </si>
  <si>
    <t>中嶋</t>
  </si>
  <si>
    <t>「換気計算等」「安全証明書」「確認必要図書」「検査必要図書」シート追加</t>
  </si>
  <si>
    <t>佐藤</t>
  </si>
  <si>
    <t>工事届け_2410　手入力欄　標準→文字列に修正</t>
  </si>
  <si>
    <t>項目名</t>
  </si>
  <si>
    <t>セル名</t>
  </si>
  <si>
    <t>データ</t>
  </si>
  <si>
    <t>Customセル名</t>
  </si>
  <si>
    <t>Customデータ</t>
  </si>
  <si>
    <t>タイトル</t>
  </si>
  <si>
    <t>**_output_title</t>
  </si>
  <si>
    <t>cst__output_title</t>
  </si>
  <si>
    <t>出力シート名</t>
  </si>
  <si>
    <t>**_output_sheetname</t>
  </si>
  <si>
    <t>cst__output_sheetname</t>
  </si>
  <si>
    <t>区別</t>
  </si>
  <si>
    <t>**wsjob_TARGET_KIND__label</t>
  </si>
  <si>
    <t>建築物</t>
  </si>
  <si>
    <t>cst_wsjob_TARGET_KIND__label</t>
  </si>
  <si>
    <t>申請書セット種別</t>
  </si>
  <si>
    <t>**wsjob_JOB_SET_KIND</t>
  </si>
  <si>
    <t>cst_wsjob_JOB_SET_KIND</t>
  </si>
  <si>
    <t>0=不明な申請、100=基準法、200=適合証明、
300=性能評価</t>
  </si>
  <si>
    <t>申請対象</t>
  </si>
  <si>
    <t>**wsjob_TARGET_KIND</t>
  </si>
  <si>
    <t>cst_wsjob_TARGET_KIND</t>
  </si>
  <si>
    <t>1=建築物、
2=昇降機、3=建築設備、
4=工作物(88-1)、5=工作物(88-2)</t>
  </si>
  <si>
    <t>cst_wsjob_KENTIKUBUTU_box</t>
  </si>
  <si>
    <t>昇降機</t>
  </si>
  <si>
    <t>cst_wsjob_SYOUKOUKI_box</t>
  </si>
  <si>
    <t>工作物</t>
  </si>
  <si>
    <t>cst_wsjob_KOUSAKUBUTU_box</t>
  </si>
  <si>
    <t>申請書種別</t>
  </si>
  <si>
    <t>**wsjob_JOB_KIND</t>
  </si>
  <si>
    <t>cst_wsjob_JOB_KIND</t>
  </si>
  <si>
    <t>＜基準法＞
101=確認申請、102=計画変更、103=中間検査、104=完了検査
＜その他申請＞
999=その他申請</t>
  </si>
  <si>
    <t>cst_wsjob_JOB_KIND_kakunin_box</t>
  </si>
  <si>
    <t>cst_wsjob_JOB_KIND_inter_box</t>
  </si>
  <si>
    <t>cst_wsjob_JOB_KIND_final_box</t>
  </si>
  <si>
    <t>確認時の中間申請書出力処理用</t>
  </si>
  <si>
    <t>基準法の種別判定</t>
  </si>
  <si>
    <t>chk_JOB_KIND_kakunin</t>
  </si>
  <si>
    <t>1：確認（確認, 計変）,3：中間, 4：完了</t>
  </si>
  <si>
    <t>確認時 - 特定工程1の入力あり</t>
  </si>
  <si>
    <t>chk_INTER1_state_in_conf</t>
  </si>
  <si>
    <t>確認時 - 特定工程2の入力あり</t>
  </si>
  <si>
    <t>chk_INTER2_state_in_conf</t>
  </si>
  <si>
    <t>確認時 - 特定工程3の入力あり</t>
  </si>
  <si>
    <t>chk_INTER3_state_in_conf</t>
  </si>
  <si>
    <t>種別（中間時 - 特定工程別）</t>
  </si>
  <si>
    <t>chk_INTER_state_in_final</t>
  </si>
  <si>
    <t>10：確認（確認, 計変）, 30：中間_前0, 31：中間_前1, 32：中間_前2, 40：完了</t>
  </si>
  <si>
    <t>確認済証番号</t>
  </si>
  <si>
    <t>cst_ISSUE_NO_select</t>
  </si>
  <si>
    <t>確認：自分, 検査：直前 ※ 確認は受理後有効</t>
  </si>
  <si>
    <t>cst_ISSUE_DATE_select</t>
  </si>
  <si>
    <t>事前受付日</t>
  </si>
  <si>
    <t>**shinsei_PROVO_DATE</t>
  </si>
  <si>
    <t>cst_shinsei_PROVO_DATE</t>
  </si>
  <si>
    <t>事前受付番号</t>
  </si>
  <si>
    <t>**shinsei_PROVO_NO</t>
  </si>
  <si>
    <t>cst_shinsei_PROVO_NO</t>
  </si>
  <si>
    <t>受付システムテーブルから取得した情報（受理後）</t>
  </si>
  <si>
    <t>引受番号</t>
  </si>
  <si>
    <t>**shinsei_UKETUKE_NO</t>
  </si>
  <si>
    <t/>
  </si>
  <si>
    <t>cst_shinsei_UKETUKE_NO</t>
  </si>
  <si>
    <t>引受日</t>
  </si>
  <si>
    <t>**shinsei_HIKIUKE_DATE</t>
  </si>
  <si>
    <t>cst_shinsei_HIKIUKE_DATE</t>
  </si>
  <si>
    <t>**shinsei_ISSUE_NO</t>
  </si>
  <si>
    <t>cst_shinsei_ISSUE_NO</t>
  </si>
  <si>
    <t>**shinsei_KAKU_SUMI_NO</t>
  </si>
  <si>
    <t>cst_shinsei_KAKU_SUMI_NO</t>
  </si>
  <si>
    <t>確認済証交付日</t>
  </si>
  <si>
    <t>交付日</t>
  </si>
  <si>
    <t>**shinsei_ISSUE_DATE</t>
  </si>
  <si>
    <t>cst_shinsei_ISSUE_DATE</t>
  </si>
  <si>
    <t>確認済証交付者</t>
  </si>
  <si>
    <t>**shinsei_ISSUE_KOUFU_NAME</t>
  </si>
  <si>
    <t>cst_shinsei_ISSUE_KOUFU_NAME</t>
  </si>
  <si>
    <t>受付システム第六面</t>
  </si>
  <si>
    <t>ルート１</t>
  </si>
  <si>
    <t>**shinsei_build_p6_01_PAGE6_KOUZOU_KEISAN_KIND__005</t>
  </si>
  <si>
    <t>cst_shinsei_build_p6_01_PAGE6_KOUZOU_KEISAN_KIND__005</t>
  </si>
  <si>
    <t>ルート２</t>
  </si>
  <si>
    <t>**shinsei_build_p6_01_PAGE6_KOUZOU_KEISAN_KIND__004</t>
  </si>
  <si>
    <t>cst_shinsei_build_p6_01_PAGE6_KOUZOU_KEISAN_KIND__004</t>
  </si>
  <si>
    <t>ルート３</t>
  </si>
  <si>
    <t>**shinsei_build_p6_01_PAGE6_KOUZOU_KEISAN_KIND__002</t>
  </si>
  <si>
    <t>cst_shinsei_build_p6_01_PAGE6_KOUZOU_KEISAN_KIND__002</t>
  </si>
  <si>
    <t>提出機関先</t>
  </si>
  <si>
    <t>**wskakunin_KIKAN_NAME</t>
  </si>
  <si>
    <t>株式会社愛知建築センター</t>
  </si>
  <si>
    <t>cst_wskakunin_KIKAN_NAME</t>
  </si>
  <si>
    <t>申請日</t>
  </si>
  <si>
    <t>**wskakunin_SHINSEI_DATE</t>
  </si>
  <si>
    <t>cst_wskakunin_SHINSEI_DATE</t>
  </si>
  <si>
    <t>直前の確認申請情報</t>
  </si>
  <si>
    <t>**wskakunin_LAST_ISSUE_NO</t>
  </si>
  <si>
    <t>cst_wskakunin_LAST_ISSUE_NO</t>
  </si>
  <si>
    <t>**wskakunin_LAST_ISSUE_DATE</t>
  </si>
  <si>
    <t>cst_wskakunin_LAST_ISSUE_DATE</t>
  </si>
  <si>
    <t>**wskakunin_LAST_ISSUE_NAME</t>
  </si>
  <si>
    <t>cst_wskakunin_LAST_ISSUE_NAME</t>
  </si>
  <si>
    <t>計画変更の概要</t>
  </si>
  <si>
    <t>**wskakunin_P1_HENKOU_GAIYOU</t>
  </si>
  <si>
    <t>cst_wskakunin_P1_HENKOU_GAIYOU</t>
  </si>
  <si>
    <t>確認済証番号（届出用）</t>
  </si>
  <si>
    <t>cst_shinsei_KAKUNIN_ISSUE_NO</t>
  </si>
  <si>
    <t>　※確認かそれ以外かで判別する</t>
  </si>
  <si>
    <t>確認済証交付者（届出用）</t>
  </si>
  <si>
    <t>cst_ISSUE_KOUFU_NAME_select</t>
  </si>
  <si>
    <t>確認済証交付日（届出用）</t>
  </si>
  <si>
    <t>cst_shinsei_KAKUNIN_KOUFU_DATE</t>
  </si>
  <si>
    <t>**wskakunin_PAGE1_ALTERATION_NOTE</t>
  </si>
  <si>
    <t>cst_wskakunin_PAGE1_ALTERATION_NOTE</t>
  </si>
  <si>
    <t>申請者</t>
  </si>
  <si>
    <t>申請者名</t>
  </si>
  <si>
    <t>**wskakunin_APPLICANT_NAME</t>
  </si>
  <si>
    <t>cst_wskakunin_APPLICANT_NAME</t>
  </si>
  <si>
    <t>建築主</t>
  </si>
  <si>
    <t>会社名</t>
  </si>
  <si>
    <t>**wskakunin_owner1_JIMU_NAME</t>
  </si>
  <si>
    <t>cst_wskakunin_owner1_JIMU_NAME</t>
  </si>
  <si>
    <t>会社名フリガナ</t>
  </si>
  <si>
    <t>**wskakunin_owner1_JIMU_NAME_KANA</t>
  </si>
  <si>
    <t>cst_wskakunin_owner1_JIMU_NAME_KANA</t>
  </si>
  <si>
    <t>役職</t>
  </si>
  <si>
    <t>**wskakunin_owner1_POST</t>
  </si>
  <si>
    <t>cst_wskakunin_owner1_POST</t>
  </si>
  <si>
    <t>役職フリガナ</t>
  </si>
  <si>
    <t>**wskakunin_owner1_POST_KANA</t>
  </si>
  <si>
    <t>cst_wskakunin_owner1_POST_KANA</t>
  </si>
  <si>
    <t>氏名</t>
  </si>
  <si>
    <t>**wskakunin_owner1_NAME</t>
  </si>
  <si>
    <t>cst_wskakunin_owner1_NAME</t>
  </si>
  <si>
    <t>氏名フリガナ</t>
  </si>
  <si>
    <t>**wskakunin_owner1_NAME_KANA</t>
  </si>
  <si>
    <t>cst_wskakunin_owner1_NAME_KANA</t>
  </si>
  <si>
    <t>会社名フリガナ&lt;スペース&gt;役職フリガナ&lt;スペース&gt;氏名フリガナ</t>
  </si>
  <si>
    <t>cst_wskakunin_owner1__space_KANA</t>
  </si>
  <si>
    <t>会社名フリガナ&lt;スペース&gt;役職フリガナ&lt;スペース&gt;氏名フリガナ　常に表示（一行表示）</t>
  </si>
  <si>
    <t>cst_wskakunin_owner1__space_KANA2</t>
  </si>
  <si>
    <t>郵便番号</t>
  </si>
  <si>
    <t>**wskakunin_owner1_ZIP</t>
  </si>
  <si>
    <t>cst_wskakunin_owner1_ZIP</t>
  </si>
  <si>
    <t>cst_wskakunin_owner1_ZIP2</t>
  </si>
  <si>
    <t>住所</t>
  </si>
  <si>
    <t>**wskakunin_owner1__address</t>
  </si>
  <si>
    <t>cst_wskakunin_owner1__address</t>
  </si>
  <si>
    <t>電話番号</t>
  </si>
  <si>
    <t>**wskakunin_owner1_TEL</t>
  </si>
  <si>
    <t>cst_wskakunin_owner1_TEL</t>
  </si>
  <si>
    <t>会社名&lt;スペース&gt;役職&lt;スペース&gt;氏名</t>
  </si>
  <si>
    <t>cst_wskakunin_owner1__space</t>
  </si>
  <si>
    <t>役職&lt;スペース&gt;氏名</t>
  </si>
  <si>
    <t>cst_wskakunin_owner1__space2</t>
  </si>
  <si>
    <t>会社名&lt;改行&gt;
役職&lt;スペース&gt;氏名</t>
  </si>
  <si>
    <t>cst_wskakunin_owner1__space3</t>
  </si>
  <si>
    <t>会社名&lt;スペース&gt;役職&lt;スペース&gt;氏名　常に表示（一行表示）</t>
  </si>
  <si>
    <t>cst_wskakunin_owner1__space4</t>
  </si>
  <si>
    <t>建築主2</t>
  </si>
  <si>
    <t>**wskakunin_owner2_JIMU_NAME</t>
  </si>
  <si>
    <t>cst_wskakunin_owner2_JIMU_NAME</t>
  </si>
  <si>
    <t>**wskakunin_owner2_JIMU_NAME_KANA</t>
  </si>
  <si>
    <t>cst_wskakunin_owner2_JIMU_NAME_KANA</t>
  </si>
  <si>
    <t>**wskakunin_owner2_POST</t>
  </si>
  <si>
    <t>cst_wskakunin_owner2_POST</t>
  </si>
  <si>
    <t>**wskakunin_owner2_POST_KANA</t>
  </si>
  <si>
    <t>cst_wskakunin_owner2_POST_KANA</t>
  </si>
  <si>
    <t>**wskakunin_owner2_NAME</t>
  </si>
  <si>
    <t>cst_wskakunin_owner2_NAME</t>
  </si>
  <si>
    <t>**wskakunin_owner2_NAME_KANA</t>
  </si>
  <si>
    <t>cst_wskakunin_owner2_NAME_KANA</t>
  </si>
  <si>
    <t>**wskakunin_owner2_ZIP</t>
  </si>
  <si>
    <t>cst_wskakunin_owner2_ZIP</t>
  </si>
  <si>
    <t>**wskakunin_owner2__address</t>
  </si>
  <si>
    <t>cst_wskakunin_owner2__address</t>
  </si>
  <si>
    <t>**wskakunin_owner2_TEL</t>
  </si>
  <si>
    <t>cst_wskakunin_owner2_TEL</t>
  </si>
  <si>
    <t>cst_wskakunin_owner2__space</t>
  </si>
  <si>
    <t>cst_wskakunin_owner2__space2</t>
  </si>
  <si>
    <t>cst_wskakunin_owner2__space3</t>
  </si>
  <si>
    <t>建築主3</t>
  </si>
  <si>
    <t>**wskakunin_owner3_JIMU_NAME</t>
  </si>
  <si>
    <t>cst_wskakunin_owner3_JIMU_NAME</t>
  </si>
  <si>
    <t>**wskakunin_owner3_JIMU_NAME_KANA</t>
  </si>
  <si>
    <t>cst_wskakunin_owner3_JIMU_NAME_KANA</t>
  </si>
  <si>
    <t>**wskakunin_owner3_POST</t>
  </si>
  <si>
    <t>cst_wskakunin_owner3_POST</t>
  </si>
  <si>
    <t>**wskakunin_owner3_POST_KANA</t>
  </si>
  <si>
    <t>cst_wskakunin_owner3_POST_KANA</t>
  </si>
  <si>
    <t>**wskakunin_owner3_NAME</t>
  </si>
  <si>
    <t>cst_wskakunin_owner3_NAME</t>
  </si>
  <si>
    <t>**wskakunin_owner3_NAME_KANA</t>
  </si>
  <si>
    <t>cst_wskakunin_owner3_NAME_KANA</t>
  </si>
  <si>
    <t>**wskakunin_owner3_ZIP</t>
  </si>
  <si>
    <t>cst_wskakunin_owner3_ZIP</t>
  </si>
  <si>
    <t>**wskakunin_owner3__address</t>
  </si>
  <si>
    <t>cst_wskakunin_owner3__address</t>
  </si>
  <si>
    <t>**wskakunin_owner3_TEL</t>
  </si>
  <si>
    <t>cst_wskakunin_owner3_TEL</t>
  </si>
  <si>
    <t>cst_wskakunin_owner3__space</t>
  </si>
  <si>
    <t>建築主4</t>
  </si>
  <si>
    <t>**wskakunin_owner4_JIMU_NAME</t>
  </si>
  <si>
    <t>cst_wskakunin_owner4_JIMU_NAME</t>
  </si>
  <si>
    <t>**wskakunin_owner4_JIMU_NAME_KANA</t>
  </si>
  <si>
    <t>cst_wskakunin_owner4_JIMU_NAME_KANA</t>
  </si>
  <si>
    <t>**wskakunin_owner4_POST</t>
  </si>
  <si>
    <t>cst_wskakunin_owner4_POST</t>
  </si>
  <si>
    <t>**wskakunin_owner4_POST_KANA</t>
  </si>
  <si>
    <t>cst_wskakunin_owner4_POST_KANA</t>
  </si>
  <si>
    <t>**wskakunin_owner4_NAME</t>
  </si>
  <si>
    <t>cst_wskakunin_owner4_NAME</t>
  </si>
  <si>
    <t>**wskakunin_owner4_NAME_KANA</t>
  </si>
  <si>
    <t>cst_wskakunin_owner4_NAME_KANA</t>
  </si>
  <si>
    <t>**wskakunin_owner4_ZIP</t>
  </si>
  <si>
    <t>cst_wskakunin_owner4_ZIP</t>
  </si>
  <si>
    <t>**wskakunin_owner4__address</t>
  </si>
  <si>
    <t>cst_wskakunin_owner4__address</t>
  </si>
  <si>
    <t>**wskakunin_owner4_TEL</t>
  </si>
  <si>
    <t>cst_wskakunin_owner4_TEL</t>
  </si>
  <si>
    <t>cst_wskakunin_owner4__space</t>
  </si>
  <si>
    <t>建築主5</t>
  </si>
  <si>
    <t>**wskakunin_owner5_JIMU_NAME</t>
  </si>
  <si>
    <t>cst_wskakunin_owner5_JIMU_NAME</t>
  </si>
  <si>
    <t>**wskakunin_owner5_JIMU_NAME_KANA</t>
  </si>
  <si>
    <t>cst_wskakunin_owner5_JIMU_NAME_KANA</t>
  </si>
  <si>
    <t>**wskakunin_owner5_POST</t>
  </si>
  <si>
    <t>cst_wskakunin_owner5_POST</t>
  </si>
  <si>
    <t>**wskakunin_owner5_POST_KANA</t>
  </si>
  <si>
    <t>cst_wskakunin_owner5_POST_KANA</t>
  </si>
  <si>
    <t>**wskakunin_owner5_NAME</t>
  </si>
  <si>
    <t>cst_wskakunin_owner5_NAME</t>
  </si>
  <si>
    <t>**wskakunin_owner5_NAME_KANA</t>
  </si>
  <si>
    <t>cst_wskakunin_owner5_NAME_KANA</t>
  </si>
  <si>
    <t>**wskakunin_owner5_ZIP</t>
  </si>
  <si>
    <t>cst_wskakunin_owner5_ZIP</t>
  </si>
  <si>
    <t>**wskakunin_owner5__address</t>
  </si>
  <si>
    <t>cst_wskakunin_owner5__address</t>
  </si>
  <si>
    <t>**wskakunin_owner5_TEL</t>
  </si>
  <si>
    <t>cst_wskakunin_owner5_TEL</t>
  </si>
  <si>
    <t>cst_wskakunin_owner5__space</t>
  </si>
  <si>
    <t>建築主6</t>
  </si>
  <si>
    <t>**wskakunin_owner6_JIMU_NAME</t>
  </si>
  <si>
    <t>cst_wskakunin_owner6_JIMU_NAME</t>
  </si>
  <si>
    <t>**wskakunin_owner6_JIMU_NAME_KANA</t>
  </si>
  <si>
    <t>cst_wskakunin_owner6_JIMU_NAME_KANA</t>
  </si>
  <si>
    <t>**wskakunin_owner6_POST</t>
  </si>
  <si>
    <t>cst_wskakunin_owner6_POST</t>
  </si>
  <si>
    <t>**wskakunin_owner6_POST_KANA</t>
  </si>
  <si>
    <t>cst_wskakunin_owner6_POST_KANA</t>
  </si>
  <si>
    <t>**wskakunin_owner6_NAME</t>
  </si>
  <si>
    <t>cst_wskakunin_owner6_NAME</t>
  </si>
  <si>
    <t>**wskakunin_owner6_NAME_KANA</t>
  </si>
  <si>
    <t>cst_wskakunin_owner6_NAME_KANA</t>
  </si>
  <si>
    <t>**wskakunin_owner6_ZIP</t>
  </si>
  <si>
    <t>cst_wskakunin_owner6_ZIP</t>
  </si>
  <si>
    <t>**wskakunin_owner6__address</t>
  </si>
  <si>
    <t>cst_wskakunin_owner6__address</t>
  </si>
  <si>
    <t>**wskakunin_owner6_TEL</t>
  </si>
  <si>
    <t>cst_wskakunin_owner6_TEL</t>
  </si>
  <si>
    <t>cst_wskakunin_owner6__space3</t>
  </si>
  <si>
    <t>建築主7</t>
  </si>
  <si>
    <t>**wskakunin_owner7_JIMU_NAME</t>
  </si>
  <si>
    <t>cst_wskakunin_owner7_JIMU_NAME</t>
  </si>
  <si>
    <t>**wskakunin_owner7_JIMU_NAME_KANA</t>
  </si>
  <si>
    <t>cst_wskakunin_owner7_JIMU_NAME_KANA</t>
  </si>
  <si>
    <t>**wskakunin_owner7_POST</t>
  </si>
  <si>
    <t>cst_wskakunin_owner7_POST</t>
  </si>
  <si>
    <t>**wskakunin_owner7_POST_KANA</t>
  </si>
  <si>
    <t>cst_wskakunin_owner7_POST_KANA</t>
  </si>
  <si>
    <t>**wskakunin_owner7_NAME</t>
  </si>
  <si>
    <t>cst_wskakunin_owner7_NAME</t>
  </si>
  <si>
    <t>**wskakunin_owner7_NAME_KANA</t>
  </si>
  <si>
    <t>cst_wskakunin_owner7_NAME_KANA</t>
  </si>
  <si>
    <t>**wskakunin_owner7_ZIP</t>
  </si>
  <si>
    <t>cst_wskakunin_owner7_ZIP</t>
  </si>
  <si>
    <t>**wskakunin_owner7__address</t>
  </si>
  <si>
    <t>cst_wskakunin_owner7__address</t>
  </si>
  <si>
    <t>**wskakunin_owner7_TEL</t>
  </si>
  <si>
    <t>cst_wskakunin_owner7_TEL</t>
  </si>
  <si>
    <t>建築主8</t>
  </si>
  <si>
    <t>**wskakunin_owner8_JIMU_NAME</t>
  </si>
  <si>
    <t>cst_wskakunin_owner8_JIMU_NAME</t>
  </si>
  <si>
    <t>**wskakunin_owner8_JIMU_NAME_KANA</t>
  </si>
  <si>
    <t>cst_wskakunin_owner8_JIMU_NAME_KANA</t>
  </si>
  <si>
    <t>**wskakunin_owner8_POST</t>
  </si>
  <si>
    <t>cst_wskakunin_owner8_POST</t>
  </si>
  <si>
    <t>**wskakunin_owner8_POST_KANA</t>
  </si>
  <si>
    <t>cst_wskakunin_owner8_POST_KANA</t>
  </si>
  <si>
    <t>**wskakunin_owner8_NAME</t>
  </si>
  <si>
    <t>cst_wskakunin_owner8_NAME</t>
  </si>
  <si>
    <t>**wskakunin_owner8_NAME_KANA</t>
  </si>
  <si>
    <t>cst_wskakunin_owner8_NAME_KANA</t>
  </si>
  <si>
    <t>**wskakunin_owner8_ZIP</t>
  </si>
  <si>
    <t>cst_wskakunin_owner8_ZIP</t>
  </si>
  <si>
    <t>**wskakunin_owner8__address</t>
  </si>
  <si>
    <t>cst_wskakunin_owner8__address</t>
  </si>
  <si>
    <t>**wskakunin_owner8_TEL</t>
  </si>
  <si>
    <t>cst_wskakunin_owner8_TEL</t>
  </si>
  <si>
    <t>建築主9</t>
  </si>
  <si>
    <t>**wskakunin_owner9_JIMU_NAME</t>
  </si>
  <si>
    <t>cst_wskakunin_owner9_JIMU_NAME</t>
  </si>
  <si>
    <t>**wskakunin_owner9_JIMU_NAME_KANA</t>
  </si>
  <si>
    <t>cst_wskakunin_owner9_JIMU_NAME_KANA</t>
  </si>
  <si>
    <t>**wskakunin_owner9_POST</t>
  </si>
  <si>
    <t>cst_wskakunin_owner9_POST</t>
  </si>
  <si>
    <t>**wskakunin_owner9_POST_KANA</t>
  </si>
  <si>
    <t>cst_wskakunin_owner9_POST_KANA</t>
  </si>
  <si>
    <t>**wskakunin_owner9_NAME</t>
  </si>
  <si>
    <t>cst_wskakunin_owner9_NAME</t>
  </si>
  <si>
    <t>**wskakunin_owner9_NAME_KANA</t>
  </si>
  <si>
    <t>cst_wskakunin_owner9_NAME_KANA</t>
  </si>
  <si>
    <t>**wskakunin_owner9_ZIP</t>
  </si>
  <si>
    <t>cst_wskakunin_owner9_ZIP</t>
  </si>
  <si>
    <t>**wskakunin_owner9__address</t>
  </si>
  <si>
    <t>cst_wskakunin_owner9__address</t>
  </si>
  <si>
    <t>**wskakunin_owner9_TEL</t>
  </si>
  <si>
    <t>cst_wskakunin_owner9_TEL</t>
  </si>
  <si>
    <t>代理者</t>
  </si>
  <si>
    <t>資格一括</t>
  </si>
  <si>
    <t>**wskakunin_dairi1__sikaku</t>
  </si>
  <si>
    <t>cst_wskakunin_dairi1__sikaku</t>
  </si>
  <si>
    <t>資格</t>
  </si>
  <si>
    <t>**wskakunin_dairi1_SIKAKU__label</t>
  </si>
  <si>
    <t>cst_wskakunin_dairi1_SIKAKU</t>
  </si>
  <si>
    <t>登録機関</t>
  </si>
  <si>
    <t>**wskakunin_dairi1_TOUROKU_KIKAN__label</t>
  </si>
  <si>
    <t>cst_wskakunin_dairi1_TOUROKU_KIKAN</t>
  </si>
  <si>
    <t>建築士登録番号</t>
  </si>
  <si>
    <t>**wskakunin_dairi1_KENTIKUSI_NO</t>
  </si>
  <si>
    <t>cst_wskakunin_dairi1_KENTIKUSI_NO</t>
  </si>
  <si>
    <t>**wskakunin_dairi1_NAME</t>
  </si>
  <si>
    <t>cst_wskakunin_dairi1_NAME</t>
  </si>
  <si>
    <t>フリガナ</t>
  </si>
  <si>
    <t>**wskakunin_dairi1_NAME_KANA</t>
  </si>
  <si>
    <t>cst_wskakunin_dairi1_NAME_KANA</t>
  </si>
  <si>
    <t>事務所 資格一括</t>
  </si>
  <si>
    <t>**wskakunin_dairi1_JIMU__sikaku</t>
  </si>
  <si>
    <t>cst_wskakunin_dairi1_JIMU__sikaku</t>
  </si>
  <si>
    <t>事務所 資格</t>
  </si>
  <si>
    <t>**wskakunin_dairi1_JIMU_SIKAKU__label</t>
  </si>
  <si>
    <t>cst_wskakunin_dairi1_JIMU_SIKAKU</t>
  </si>
  <si>
    <t>事務所　登録機関</t>
  </si>
  <si>
    <t>**wskakunin_dairi1_JIMU_TOUROKU_KIKAN__label</t>
  </si>
  <si>
    <t>cst_wskakunin_dairi1_JIMU_TOUROKU_KIKAN</t>
  </si>
  <si>
    <t>事務所　許可番号</t>
  </si>
  <si>
    <t>**wskakunin_dairi1_JIMU_NO</t>
  </si>
  <si>
    <t>cst_wskakunin_dairi1_JIMU_NO</t>
  </si>
  <si>
    <t>事務所名</t>
  </si>
  <si>
    <t>**wskakunin_dairi1_JIMU_NAME</t>
  </si>
  <si>
    <t>cst_wskakunin_dairi1_JIMU_NAME</t>
  </si>
  <si>
    <t>**wskakunin_dairi1_ZIP</t>
  </si>
  <si>
    <t>cst_wskakunin_dairi1_ZIP</t>
  </si>
  <si>
    <t>所在地</t>
  </si>
  <si>
    <t>**wskakunin_dairi1__address</t>
  </si>
  <si>
    <t>cst_wskakunin_dairi1__address</t>
  </si>
  <si>
    <t>**wskakunin_dairi1_TEL</t>
  </si>
  <si>
    <t>cst_wskakunin_dairi1_TEL</t>
  </si>
  <si>
    <t>FAX番号</t>
  </si>
  <si>
    <t>**wskakunin_dairi1_FAX</t>
  </si>
  <si>
    <t>cst_wskakunin_dairi1_FAX</t>
  </si>
  <si>
    <t>会社名&lt;スペース&gt;氏名</t>
  </si>
  <si>
    <t>cst_wskakunin_dairi1__space</t>
  </si>
  <si>
    <t>代理者2</t>
  </si>
  <si>
    <t>**wskakunin_dairi2__sikaku</t>
  </si>
  <si>
    <t>cst_wskakunin_dairi2__sikaku</t>
  </si>
  <si>
    <t>**wskakunin_dairi2_SIKAKU__label</t>
  </si>
  <si>
    <t>cst_wskakunin_dairi2_SIKAKU</t>
  </si>
  <si>
    <t>**wskakunin_dairi2_TOUROKU_KIKAN__label</t>
  </si>
  <si>
    <t>cst_wskakunin_dairi2_TOUROKU_KIKAN</t>
  </si>
  <si>
    <t>**wskakunin_dairi2_KENTIKUSI_NO</t>
  </si>
  <si>
    <t>cst_wskakunin_dairi2_KENTIKUSI_NO</t>
  </si>
  <si>
    <t>**wskakunin_dairi2_NAME</t>
  </si>
  <si>
    <t>cst_wskakunin_dairi2_NAME</t>
  </si>
  <si>
    <t>**wskakunin_dairi2_NAME_KANA</t>
  </si>
  <si>
    <t>cst_wskakunin_dairi2_NAME_KANA</t>
  </si>
  <si>
    <t>**wskakunin_dairi2_JIMU__sikaku</t>
  </si>
  <si>
    <t>cst_wskakunin_dairi2_JIMU__sikaku</t>
  </si>
  <si>
    <t>**wskakunin_dairi2_JIMU_SIKAKU__label</t>
  </si>
  <si>
    <t>cst_wskakunin_dairi2_JIMU_SIKAKU</t>
  </si>
  <si>
    <t>**wskakunin_dairi2_JIMU_TOUROKU_KIKAN__label</t>
  </si>
  <si>
    <t>cst_wskakunin_dairi2_JIMU_TOUROKU_KIKAN</t>
  </si>
  <si>
    <t>**wskakunin_dairi2_JIMU_NO</t>
  </si>
  <si>
    <t>cst_wskakunin_dairi2_JIMU_NO</t>
  </si>
  <si>
    <t>**wskakunin_dairi2_JIMU_NAME</t>
  </si>
  <si>
    <t>cst_wskakunin_dairi2_JIMU_NAME</t>
  </si>
  <si>
    <t>**wskakunin_dairi2_ZIP</t>
  </si>
  <si>
    <t>cst_wskakunin_dairi2_ZIP</t>
  </si>
  <si>
    <t>**wskakunin_dairi2__address</t>
  </si>
  <si>
    <t>cst_wskakunin_dairi2__address</t>
  </si>
  <si>
    <t>**wskakunin_dairi2_TEL</t>
  </si>
  <si>
    <t>cst_wskakunin_dairi2_TEL</t>
  </si>
  <si>
    <t>**wskakunin_dairi2_FAX</t>
  </si>
  <si>
    <t>cst_wskakunin_dairi2_FAX</t>
  </si>
  <si>
    <t>cst_wskakunin_dairi2__space</t>
  </si>
  <si>
    <t>代理者3</t>
  </si>
  <si>
    <t>**wskakunin_dairi3__sikaku</t>
  </si>
  <si>
    <t>cst_wskakunin_dairi3__sikaku</t>
  </si>
  <si>
    <t>**wskakunin_dairi3_SIKAKU__label</t>
  </si>
  <si>
    <t>cst_wskakunin_dairi3_SIKAKU</t>
  </si>
  <si>
    <t>**wskakunin_dairi3_TOUROKU_KIKAN__label</t>
  </si>
  <si>
    <t>cst_wskakunin_dairi3_TOUROKU_KIKAN</t>
  </si>
  <si>
    <t>**wskakunin_dairi3_KENTIKUSI_NO</t>
  </si>
  <si>
    <t>cst_wskakunin_dairi3_KENTIKUSI_NO</t>
  </si>
  <si>
    <t>**wskakunin_dairi3_NAME</t>
  </si>
  <si>
    <t>cst_wskakunin_dairi3_NAME</t>
  </si>
  <si>
    <t>**wskakunin_dairi3_NAME_KANA</t>
  </si>
  <si>
    <t>cst_wskakunin_dairi3_NAME_KANA</t>
  </si>
  <si>
    <t>**wskakunin_dairi3_JIMU__sikaku</t>
  </si>
  <si>
    <t>cst_wskakunin_dairi3_JIMU__sikaku</t>
  </si>
  <si>
    <t>**wskakunin_dairi3_JIMU_SIKAKU__label</t>
  </si>
  <si>
    <t>cst_wskakunin_dairi3_JIMU_SIKAKU</t>
  </si>
  <si>
    <t>**wskakunin_dairi3_JIMU_TOUROKU_KIKAN__label</t>
  </si>
  <si>
    <t>cst_wskakunin_dairi3_JIMU_TOUROKU_KIKAN</t>
  </si>
  <si>
    <t>**wskakunin_dairi3_JIMU_NO</t>
  </si>
  <si>
    <t>cst_wskakunin_dairi3_JIMU_NO</t>
  </si>
  <si>
    <t>**wskakunin_dairi3_JIMU_NAME</t>
  </si>
  <si>
    <t>cst_wskakunin_dairi3_JIMU_NAME</t>
  </si>
  <si>
    <t>**wskakunin_dairi3_ZIP</t>
  </si>
  <si>
    <t>cst_wskakunin_dairi3_ZIP</t>
  </si>
  <si>
    <t>**wskakunin_dairi3__address</t>
  </si>
  <si>
    <t>cst_wskakunin_dairi3__address</t>
  </si>
  <si>
    <t>**wskakunin_dairi3_TEL</t>
  </si>
  <si>
    <t>cst_wskakunin_dairi3_TEL</t>
  </si>
  <si>
    <t>**wskakunin_dairi3_FAX</t>
  </si>
  <si>
    <t>cst_wskakunin_dairi3_FAX</t>
  </si>
  <si>
    <t>cst_wskakunin_dairi3__space</t>
  </si>
  <si>
    <t>代理者4</t>
  </si>
  <si>
    <t>**wskakunin_dairi4__sikaku</t>
  </si>
  <si>
    <t>cst_wskakunin_dairi4__sikaku</t>
  </si>
  <si>
    <t>**wskakunin_dairi4_SIKAKU__label</t>
  </si>
  <si>
    <t>cst_wskakunin_dairi4_SIKAKU</t>
  </si>
  <si>
    <t>**wskakunin_dairi4_TOUROKU_KIKAN__label</t>
  </si>
  <si>
    <t>cst_wskakunin_dairi4_TOUROKU_KIKAN</t>
  </si>
  <si>
    <t>**wskakunin_dairi4_KENTIKUSI_NO</t>
  </si>
  <si>
    <t>cst_wskakunin_dairi4_KENTIKUSI_NO</t>
  </si>
  <si>
    <t>**wskakunin_dairi4_NAME</t>
  </si>
  <si>
    <t>cst_wskakunin_dairi4_NAME</t>
  </si>
  <si>
    <t>**wskakunin_dairi4_NAME_KANA</t>
  </si>
  <si>
    <t>cst_wskakunin_dairi4_NAME_KANA</t>
  </si>
  <si>
    <t>**wskakunin_dairi4_JIMU__sikaku</t>
  </si>
  <si>
    <t>cst_wskakunin_dairi4_JIMU__sikaku</t>
  </si>
  <si>
    <t>**wskakunin_dairi4_JIMU_SIKAKU__label</t>
  </si>
  <si>
    <t>cst_wskakunin_dairi4_JIMU_SIKAKU</t>
  </si>
  <si>
    <t>**wskakunin_dairi4_JIMU_TOUROKU_KIKAN__label</t>
  </si>
  <si>
    <t>cst_wskakunin_dairi4_JIMU_TOUROKU_KIKAN</t>
  </si>
  <si>
    <t>**wskakunin_dairi4_JIMU_NO</t>
  </si>
  <si>
    <t>cst_wskakunin_dairi4_JIMU_NO</t>
  </si>
  <si>
    <t>**wskakunin_dairi4_JIMU_NAME</t>
  </si>
  <si>
    <t>cst_wskakunin_dairi4_JIMU_NAME</t>
  </si>
  <si>
    <t>**wskakunin_dairi4_ZIP</t>
  </si>
  <si>
    <t>cst_wskakunin_dairi4_ZIP</t>
  </si>
  <si>
    <t>**wskakunin_dairi4__address</t>
  </si>
  <si>
    <t>cst_wskakunin_dairi4__address</t>
  </si>
  <si>
    <t>**wskakunin_dairi4_TEL</t>
  </si>
  <si>
    <t>cst_wskakunin_dairi4_TEL</t>
  </si>
  <si>
    <t>**wskakunin_dairi4_FAX</t>
  </si>
  <si>
    <t>cst_wskakunin_dairi4_FAX</t>
  </si>
  <si>
    <t>cst_wskakunin_dairi4__space</t>
  </si>
  <si>
    <t>代理者5</t>
  </si>
  <si>
    <t>**wskakunin_dairi5__sikaku</t>
  </si>
  <si>
    <t>cst_wskakunin_dairi5__sikaku</t>
  </si>
  <si>
    <t>**wskakunin_dairi5_SIKAKU__label</t>
  </si>
  <si>
    <t>cst_wskakunin_dairi5_SIKAKU</t>
  </si>
  <si>
    <t>**wskakunin_dairi5_TOUROKU_KIKAN__label</t>
  </si>
  <si>
    <t>cst_wskakunin_dairi5_TOUROKU_KIKAN</t>
  </si>
  <si>
    <t>**wskakunin_dairi5_KENTIKUSI_NO</t>
  </si>
  <si>
    <t>cst_wskakunin_dairi5_KENTIKUSI_NO</t>
  </si>
  <si>
    <t>**wskakunin_dairi5_NAME</t>
  </si>
  <si>
    <t>cst_wskakunin_dairi5_NAME</t>
  </si>
  <si>
    <t>**wskakunin_dairi5_NAME_KANA</t>
  </si>
  <si>
    <t>cst_wskakunin_dairi5_NAME_KANA</t>
  </si>
  <si>
    <t>**wskakunin_dairi5_JIMU__sikaku</t>
  </si>
  <si>
    <t>cst_wskakunin_dairi5_JIMU__sikaku</t>
  </si>
  <si>
    <t>**wskakunin_dairi5_JIMU_SIKAKU__label</t>
  </si>
  <si>
    <t>cst_wskakunin_dairi5_JIMU_SIKAKU</t>
  </si>
  <si>
    <t>**wskakunin_dairi5_JIMU_TOUROKU_KIKAN__label</t>
  </si>
  <si>
    <t>cst_wskakunin_dairi5_JIMU_TOUROKU_KIKAN</t>
  </si>
  <si>
    <t>**wskakunin_dairi5_JIMU_NO</t>
  </si>
  <si>
    <t>cst_wskakunin_dairi5_JIMU_NO</t>
  </si>
  <si>
    <t>**wskakunin_dairi5_JIMU_NAME</t>
  </si>
  <si>
    <t>cst_wskakunin_dairi5_JIMU_NAME</t>
  </si>
  <si>
    <t>**wskakunin_dairi5_ZIP</t>
  </si>
  <si>
    <t>cst_wskakunin_dairi5_ZIP</t>
  </si>
  <si>
    <t>**wskakunin_dairi5__address</t>
  </si>
  <si>
    <t>cst_wskakunin_dairi5__address</t>
  </si>
  <si>
    <t>**wskakunin_dairi5_TEL</t>
  </si>
  <si>
    <t>cst_wskakunin_dairi5_TEL</t>
  </si>
  <si>
    <t>**wskakunin_dairi5_FAX</t>
  </si>
  <si>
    <t>cst_wskakunin_dairi5_FAX</t>
  </si>
  <si>
    <t>cst_wskakunin_dairi5__space</t>
  </si>
  <si>
    <t>設計者1</t>
  </si>
  <si>
    <t>**wskakunin_sekkei1__sikaku</t>
  </si>
  <si>
    <t>cst_wskakunin_sekkei1__sikaku</t>
  </si>
  <si>
    <t>**wskakunin_sekkei1_SIKAKU__label</t>
  </si>
  <si>
    <t>cst_wskakunin_sekkei1_SIKAKU</t>
  </si>
  <si>
    <t>**wskakunin_sekkei1_TOUROKU_KIKAN__label</t>
  </si>
  <si>
    <t>cst_wskakunin_sekkei1_TOUROKU_KIKAN</t>
  </si>
  <si>
    <t>**wskakunin_sekkei1_KENTIKUSI_NO</t>
  </si>
  <si>
    <t>cst_wskakunin_sekkei1_KENTIKUSI_NO</t>
  </si>
  <si>
    <t>**wskakunin_sekkei1_NAME</t>
  </si>
  <si>
    <t>cst_wskakunin_sekkei1_NAME</t>
  </si>
  <si>
    <t>**wskakunin_sekkei1_JIMU__sikaku</t>
  </si>
  <si>
    <t>cst_wskakunin_sekkei1_JIMU__sikaku</t>
  </si>
  <si>
    <t>**wskakunin_sekkei1_JIMU_SIKAKU__label</t>
  </si>
  <si>
    <t>cst_wskakunin_sekkei1_JIMU_SIKAKU</t>
  </si>
  <si>
    <t>**wskakunin_sekkei1_JIMU_TOUROKU_KIKAN__label</t>
  </si>
  <si>
    <t>cst_wskakunin_sekkei1_JIMU_TOUROKU_KIKAN</t>
  </si>
  <si>
    <t>**wskakunin_sekkei1_JIMU_NO</t>
  </si>
  <si>
    <t>cst_wskakunin_sekkei1_JIMU_NO</t>
  </si>
  <si>
    <t>**wskakunin_sekkei1_JIMU_NAME</t>
  </si>
  <si>
    <t>cst_wskakunin_sekkei1_JIMU_NAME</t>
  </si>
  <si>
    <t>事務所名＋氏名</t>
  </si>
  <si>
    <t>cst_wskakunin_sekkei1_jimuname_name</t>
  </si>
  <si>
    <t>**wskakunin_sekkei1_ZIP</t>
  </si>
  <si>
    <t>cst_wskakunin_sekkei1_ZIP</t>
  </si>
  <si>
    <t>DOC</t>
  </si>
  <si>
    <t>**wskakunin_sekkei1__address</t>
  </si>
  <si>
    <t>cst_wskakunin_sekkei1__address</t>
  </si>
  <si>
    <t>**wskakunin_sekkei1_TEL</t>
  </si>
  <si>
    <t>cst_wskakunin_sekkei1_TEL</t>
  </si>
  <si>
    <t>設計図書</t>
  </si>
  <si>
    <t>**wskakunin_sekkei1_DOC</t>
  </si>
  <si>
    <t>cst_wskakunin_sekkei1_DOC</t>
  </si>
  <si>
    <t>設計者2</t>
  </si>
  <si>
    <t>**wskakunin_sekkei2__sikaku</t>
  </si>
  <si>
    <t>cst_wskakunin_sekkei2__sikaku</t>
  </si>
  <si>
    <t>**wskakunin_sekkei2_SIKAKU__label</t>
  </si>
  <si>
    <t>cst_wskakunin_sekkei2_SIKAKU</t>
  </si>
  <si>
    <t>**wskakunin_sekkei2_TOUROKU_KIKAN__label</t>
  </si>
  <si>
    <t>cst_wskakunin_sekkei2_TOUROKU_KIKAN</t>
  </si>
  <si>
    <t>**wskakunin_sekkei2_KENTIKUSI_NO</t>
  </si>
  <si>
    <t>cst_wskakunin_sekkei2_KENTIKUSI_NO</t>
  </si>
  <si>
    <t>**wskakunin_sekkei2_NAME</t>
  </si>
  <si>
    <t>cst_wskakunin_sekkei2_NAME</t>
  </si>
  <si>
    <t>**wskakunin_sekkei2_JIMU__sikaku</t>
  </si>
  <si>
    <t>cst_wskakunin_sekkei2_JIMU__sikaku</t>
  </si>
  <si>
    <t>**wskakunin_sekkei2_JIMU_SIKAKU__label</t>
  </si>
  <si>
    <t>cst_wskakunin_sekkei2_JIMU_SIKAKU</t>
  </si>
  <si>
    <t>**wskakunin_sekkei2_JIMU_TOUROKU_KIKAN__label</t>
  </si>
  <si>
    <t>cst_wskakunin_sekkei2_JIMU_TOUROKU_KIKAN</t>
  </si>
  <si>
    <t>**wskakunin_sekkei2_JIMU_NO</t>
  </si>
  <si>
    <t>cst_wskakunin_sekkei2_JIMU_NO</t>
  </si>
  <si>
    <t>**wskakunin_sekkei2_JIMU_NAME</t>
  </si>
  <si>
    <t>cst_wskakunin_sekkei2_JIMU_NAME</t>
  </si>
  <si>
    <t>cst_wskakunin_sekkei2_jimuname_name</t>
  </si>
  <si>
    <t>**wskakunin_sekkei2_ZIP</t>
  </si>
  <si>
    <t>cst_wskakunin_sekkei2_ZIP</t>
  </si>
  <si>
    <t>**wskakunin_sekkei2__address</t>
  </si>
  <si>
    <t>cst_wskakunin_sekkei2__address</t>
  </si>
  <si>
    <t>**wskakunin_sekkei2_TEL</t>
  </si>
  <si>
    <t>cst_wskakunin_sekkei2_TEL</t>
  </si>
  <si>
    <t>**wskakunin_sekkei2_DOC</t>
  </si>
  <si>
    <t>cst_wskakunin_sekkei2_DOC</t>
  </si>
  <si>
    <t>設計者3</t>
  </si>
  <si>
    <t>**wskakunin_sekkei3__sikaku</t>
  </si>
  <si>
    <t>cst_wskakunin_sekkei3__sikaku</t>
  </si>
  <si>
    <t>**wskakunin_sekkei3_SIKAKU__label</t>
  </si>
  <si>
    <t>cst_wskakunin_sekkei3_SIKAKU</t>
  </si>
  <si>
    <t>**wskakunin_sekkei3_TOUROKU_KIKAN__label</t>
  </si>
  <si>
    <t>cst_wskakunin_sekkei3_TOUROKU_KIKAN</t>
  </si>
  <si>
    <t>**wskakunin_sekkei3_KENTIKUSI_NO</t>
  </si>
  <si>
    <t>cst_wskakunin_sekkei3_KENTIKUSI_NO</t>
  </si>
  <si>
    <t>**wskakunin_sekkei3_NAME</t>
  </si>
  <si>
    <t>cst_wskakunin_sekkei3_NAME</t>
  </si>
  <si>
    <t>**wskakunin_sekkei3_JIMU__sikaku</t>
  </si>
  <si>
    <t>cst_wskakunin_sekkei3_JIMU__sikaku</t>
  </si>
  <si>
    <t>**wskakunin_sekkei3_JIMU_SIKAKU__label</t>
  </si>
  <si>
    <t>cst_wskakunin_sekkei3_JIMU_SIKAKU</t>
  </si>
  <si>
    <t>**wskakunin_sekkei3_JIMU_TOUROKU_KIKAN__label</t>
  </si>
  <si>
    <t>cst_wskakunin_sekkei3_JIMU_TOUROKU_KIKAN</t>
  </si>
  <si>
    <t>**wskakunin_sekkei3_JIMU_NO</t>
  </si>
  <si>
    <t>cst_wskakunin_sekkei3_JIMU_NO</t>
  </si>
  <si>
    <t>**wskakunin_sekkei3_JIMU_NAME</t>
  </si>
  <si>
    <t>cst_wskakunin_sekkei3_JIMU_NAME</t>
  </si>
  <si>
    <t>cst_wskakunin_sekkei3_jimuname_name</t>
  </si>
  <si>
    <t>**wskakunin_sekkei3_ZIP</t>
  </si>
  <si>
    <t>cst_wskakunin_sekkei3_ZIP</t>
  </si>
  <si>
    <t>**wskakunin_sekkei3__address</t>
  </si>
  <si>
    <t>cst_wskakunin_sekkei3__address</t>
  </si>
  <si>
    <t>**wskakunin_sekkei3_TEL</t>
  </si>
  <si>
    <t>cst_wskakunin_sekkei3_TEL</t>
  </si>
  <si>
    <t>**wskakunin_sekkei3_DOC</t>
  </si>
  <si>
    <t>cst_wskakunin_sekkei3_DOC</t>
  </si>
  <si>
    <t>設計者4</t>
  </si>
  <si>
    <t>**wskakunin_sekkei4__sikaku</t>
  </si>
  <si>
    <t>cst_wskakunin_sekkei4__sikaku</t>
  </si>
  <si>
    <t>**wskakunin_sekkei4_SIKAKU__label</t>
  </si>
  <si>
    <t>cst_wskakunin_sekkei4_SIKAKU</t>
  </si>
  <si>
    <t>**wskakunin_sekkei4_TOUROKU_KIKAN__label</t>
  </si>
  <si>
    <t>cst_wskakunin_sekkei4_TOUROKU_KIKAN</t>
  </si>
  <si>
    <t>**wskakunin_sekkei4_KENTIKUSI_NO</t>
  </si>
  <si>
    <t>cst_wskakunin_sekkei4_KENTIKUSI_NO</t>
  </si>
  <si>
    <t>**wskakunin_sekkei4_NAME</t>
  </si>
  <si>
    <t>cst_wskakunin_sekkei4_NAME</t>
  </si>
  <si>
    <t>**wskakunin_sekkei4_JIMU__sikaku</t>
  </si>
  <si>
    <t>cst_wskakunin_sekkei4_JIMU__sikaku</t>
  </si>
  <si>
    <t>**wskakunin_sekkei4_JIMU_SIKAKU__label</t>
  </si>
  <si>
    <t>cst_wskakunin_sekkei4_JIMU_SIKAKU</t>
  </si>
  <si>
    <t>**wskakunin_sekkei4_JIMU_TOUROKU_KIKAN__label</t>
  </si>
  <si>
    <t>cst_wskakunin_sekkei4_JIMU_TOUROKU_KIKAN</t>
  </si>
  <si>
    <t>**wskakunin_sekkei4_JIMU_NO</t>
  </si>
  <si>
    <t>cst_wskakunin_sekkei4_JIMU_NO</t>
  </si>
  <si>
    <t>**wskakunin_sekkei4_JIMU_NAME</t>
  </si>
  <si>
    <t>cst_wskakunin_sekkei4_JIMU_NAME</t>
  </si>
  <si>
    <t>cst_wskakunin_sekkei4_jimuname_name</t>
  </si>
  <si>
    <t>**wskakunin_sekkei4_ZIP</t>
  </si>
  <si>
    <t>cst_wskakunin_sekkei4_ZIP</t>
  </si>
  <si>
    <t>**wskakunin_sekkei4__address</t>
  </si>
  <si>
    <t>cst_wskakunin_sekkei4__address</t>
  </si>
  <si>
    <t>**wskakunin_sekkei4_TEL</t>
  </si>
  <si>
    <t>cst_wskakunin_sekkei4_TEL</t>
  </si>
  <si>
    <t>**wskakunin_sekkei4_DOC</t>
  </si>
  <si>
    <t>cst_wskakunin_sekkei4_DOC</t>
  </si>
  <si>
    <t>設計者5</t>
  </si>
  <si>
    <t>**wskakunin_sekkei5__sikaku</t>
  </si>
  <si>
    <t>cst_wskakunin_sekkei5__sikaku</t>
  </si>
  <si>
    <t>**wskakunin_sekkei5_SIKAKU__label</t>
  </si>
  <si>
    <t>cst_wskakunin_sekkei5_SIKAKU</t>
  </si>
  <si>
    <t>**wskakunin_sekkei5_TOUROKU_KIKAN__label</t>
  </si>
  <si>
    <t>cst_wskakunin_sekkei5_TOUROKU_KIKAN</t>
  </si>
  <si>
    <t>**wskakunin_sekkei5_KENTIKUSI_NO</t>
  </si>
  <si>
    <t>cst_wskakunin_sekkei5_KENTIKUSI_NO</t>
  </si>
  <si>
    <t>**wskakunin_sekkei5_NAME</t>
  </si>
  <si>
    <t>cst_wskakunin_sekkei5_NAME</t>
  </si>
  <si>
    <t>**wskakunin_sekkei5_JIMU__sikaku</t>
  </si>
  <si>
    <t>cst_wskakunin_sekkei5_JIMU__sikaku</t>
  </si>
  <si>
    <t>**wskakunin_sekkei5_JIMU_SIKAKU__label</t>
  </si>
  <si>
    <t>cst_wskakunin_sekkei5_JIMU_SIKAKU</t>
  </si>
  <si>
    <t>**wskakunin_sekkei5_JIMU_TOUROKU_KIKAN__label</t>
  </si>
  <si>
    <t>cst_wskakunin_sekkei5_JIMU_TOUROKU_KIKAN</t>
  </si>
  <si>
    <t>**wskakunin_sekkei5_JIMU_NO</t>
  </si>
  <si>
    <t>cst_wskakunin_sekkei5_JIMU_NO</t>
  </si>
  <si>
    <t>**wskakunin_sekkei5_JIMU_NAME</t>
  </si>
  <si>
    <t>cst_wskakunin_sekkei5_JIMU_NAME</t>
  </si>
  <si>
    <t>cst_wskakunin_sekkei5_jimuname_name</t>
  </si>
  <si>
    <t>**wskakunin_sekkei5_ZIP</t>
  </si>
  <si>
    <t>cst_wskakunin_sekkei5_ZIP</t>
  </si>
  <si>
    <t>**wskakunin_sekkei5__address</t>
  </si>
  <si>
    <t>cst_wskakunin_sekkei5__address</t>
  </si>
  <si>
    <t>**wskakunin_sekkei5_TEL</t>
  </si>
  <si>
    <t>cst_wskakunin_sekkei5_TEL</t>
  </si>
  <si>
    <t>**wskakunin_sekkei5_DOC</t>
  </si>
  <si>
    <t>cst_wskakunin_sekkei5_DOC</t>
  </si>
  <si>
    <t>設計者6</t>
  </si>
  <si>
    <t>**wskakunin_sekkei6__sikaku</t>
  </si>
  <si>
    <t>cst_wskakunin_sekkei6__sikaku</t>
  </si>
  <si>
    <t>**wskakunin_sekkei6_SIKAKU__label</t>
  </si>
  <si>
    <t>cst_wskakunin_sekkei6_SIKAKU</t>
  </si>
  <si>
    <t>**wskakunin_sekkei6_TOUROKU_KIKAN__label</t>
  </si>
  <si>
    <t>cst_wskakunin_sekkei6_TOUROKU_KIKAN</t>
  </si>
  <si>
    <t>**wskakunin_sekkei6_KENTIKUSI_NO</t>
  </si>
  <si>
    <t>cst_wskakunin_sekkei6_KENTIKUSI_NO</t>
  </si>
  <si>
    <t>**wskakunin_sekkei6_NAME</t>
  </si>
  <si>
    <t>cst_wskakunin_sekkei6_NAME</t>
  </si>
  <si>
    <t>**wskakunin_sekkei6_JIMU__sikaku</t>
  </si>
  <si>
    <t>cst_wskakunin_sekkei6_JIMU__sikaku</t>
  </si>
  <si>
    <t>**wskakunin_sekkei6_JIMU_SIKAKU__label</t>
  </si>
  <si>
    <t>cst_wskakunin_sekkei6_JIMU_SIKAKU</t>
  </si>
  <si>
    <t>**wskakunin_sekkei6_JIMU_TOUROKU_KIKAN__label</t>
  </si>
  <si>
    <t>cst_wskakunin_sekkei6_JIMU_TOUROKU_KIKAN</t>
  </si>
  <si>
    <t>**wskakunin_sekkei6_JIMU_NO</t>
  </si>
  <si>
    <t>cst_wskakunin_sekkei6_JIMU_NO</t>
  </si>
  <si>
    <t>**wskakunin_sekkei6_JIMU_NAME</t>
  </si>
  <si>
    <t>cst_wskakunin_sekkei6_JIMU_NAME</t>
  </si>
  <si>
    <t>cst_wskakunin_sekkei6_jimuname_name</t>
  </si>
  <si>
    <t>**wskakunin_sekkei6_ZIP</t>
  </si>
  <si>
    <t>cst_wskakunin_sekkei6_ZIP</t>
  </si>
  <si>
    <t>**wskakunin_sekkei6__address</t>
  </si>
  <si>
    <t>cst_wskakunin_sekkei6__address</t>
  </si>
  <si>
    <t>**wskakunin_sekkei6_TEL</t>
  </si>
  <si>
    <t>cst_wskakunin_sekkei6_TEL</t>
  </si>
  <si>
    <t>**wskakunin_sekkei6_DOC</t>
  </si>
  <si>
    <t>cst_wskakunin_sekkei6_DOC</t>
  </si>
  <si>
    <t>設計者7</t>
  </si>
  <si>
    <t>**wskakunin_sekkei7__sikaku</t>
  </si>
  <si>
    <t>cst_wskakunin_sekkei7__sikaku</t>
  </si>
  <si>
    <t>**wskakunin_sekkei7_SIKAKU__label</t>
  </si>
  <si>
    <t>cst_wskakunin_sekkei7_SIKAKU</t>
  </si>
  <si>
    <t>**wskakunin_sekkei7_TOUROKU_KIKAN__label</t>
  </si>
  <si>
    <t>cst_wskakunin_sekkei7_TOUROKU_KIKAN</t>
  </si>
  <si>
    <t>**wskakunin_sekkei7_KENTIKUSI_NO</t>
  </si>
  <si>
    <t>cst_wskakunin_sekkei7_KENTIKUSI_NO</t>
  </si>
  <si>
    <t>**wskakunin_sekkei7_NAME</t>
  </si>
  <si>
    <t>cst_wskakunin_sekkei7_NAME</t>
  </si>
  <si>
    <t>**wskakunin_sekkei7_JIMU__sikaku</t>
  </si>
  <si>
    <t>cst_wskakunin_sekkei7_JIMU__sikaku</t>
  </si>
  <si>
    <t>**wskakunin_sekkei7_JIMU_SIKAKU__label</t>
  </si>
  <si>
    <t>cst_wskakunin_sekkei7_JIMU_SIKAKU</t>
  </si>
  <si>
    <t>**wskakunin_sekkei7_JIMU_TOUROKU_KIKAN__label</t>
  </si>
  <si>
    <t>cst_wskakunin_sekkei7_JIMU_TOUROKU_KIKAN</t>
  </si>
  <si>
    <t>**wskakunin_sekkei7_JIMU_NO</t>
  </si>
  <si>
    <t>cst_wskakunin_sekkei7_JIMU_NO</t>
  </si>
  <si>
    <t>**wskakunin_sekkei7_JIMU_NAME</t>
  </si>
  <si>
    <t>cst_wskakunin_sekkei7_JIMU_NAME</t>
  </si>
  <si>
    <t>cst_wskakunin_sekkei7_jimuname_name</t>
  </si>
  <si>
    <t>**wskakunin_sekkei7_ZIP</t>
  </si>
  <si>
    <t>cst_wskakunin_sekkei7_ZIP</t>
  </si>
  <si>
    <t>**wskakunin_sekkei7__address</t>
  </si>
  <si>
    <t>cst_wskakunin_sekkei7__address</t>
  </si>
  <si>
    <t>**wskakunin_sekkei7_TEL</t>
  </si>
  <si>
    <t>cst_wskakunin_sekkei7_TEL</t>
  </si>
  <si>
    <t>**wskakunin_sekkei7_DOC</t>
  </si>
  <si>
    <t>cst_wskakunin_sekkei7_DOC</t>
  </si>
  <si>
    <t>設計者8</t>
  </si>
  <si>
    <t>**wskakunin_sekkei8__sikaku</t>
  </si>
  <si>
    <t>cst_wskakunin_sekkei8__sikaku</t>
  </si>
  <si>
    <t>**wskakunin_sekkei8_SIKAKU__label</t>
  </si>
  <si>
    <t>cst_wskakunin_sekkei8_SIKAKU</t>
  </si>
  <si>
    <t>**wskakunin_sekkei8_TOUROKU_KIKAN__label</t>
  </si>
  <si>
    <t>cst_wskakunin_sekkei8_TOUROKU_KIKAN</t>
  </si>
  <si>
    <t>**wskakunin_sekkei8_KENTIKUSI_NO</t>
  </si>
  <si>
    <t>cst_wskakunin_sekkei8_KENTIKUSI_NO</t>
  </si>
  <si>
    <t>**wskakunin_sekkei8_NAME</t>
  </si>
  <si>
    <t>cst_wskakunin_sekkei8_NAME</t>
  </si>
  <si>
    <t>**wskakunin_sekkei8_JIMU__sikaku</t>
  </si>
  <si>
    <t>cst_wskakunin_sekkei8_JIMU__sikaku</t>
  </si>
  <si>
    <t>**wskakunin_sekkei8_JIMU_SIKAKU__label</t>
  </si>
  <si>
    <t>cst_wskakunin_sekkei8_JIMU_SIKAKU</t>
  </si>
  <si>
    <t>**wskakunin_sekkei8_JIMU_TOUROKU_KIKAN__label</t>
  </si>
  <si>
    <t>cst_wskakunin_sekkei8_JIMU_TOUROKU_KIKAN</t>
  </si>
  <si>
    <t>**wskakunin_sekkei8_JIMU_NO</t>
  </si>
  <si>
    <t>cst_wskakunin_sekkei8_JIMU_NO</t>
  </si>
  <si>
    <t>**wskakunin_sekkei8_JIMU_NAME</t>
  </si>
  <si>
    <t>cst_wskakunin_sekkei8_JIMU_NAME</t>
  </si>
  <si>
    <t>cst_wskakunin_sekkei8_jimuname_name</t>
  </si>
  <si>
    <t>**wskakunin_sekkei8_ZIP</t>
  </si>
  <si>
    <t>cst_wskakunin_sekkei8_ZIP</t>
  </si>
  <si>
    <t>**wskakunin_sekkei8__address</t>
  </si>
  <si>
    <t>cst_wskakunin_sekkei8__address</t>
  </si>
  <si>
    <t>**wskakunin_sekkei8_TEL</t>
  </si>
  <si>
    <t>cst_wskakunin_sekkei8_TEL</t>
  </si>
  <si>
    <t>**wskakunin_sekkei8_DOC</t>
  </si>
  <si>
    <t>cst_wskakunin_sekkei8_DOC</t>
  </si>
  <si>
    <t>設計者9</t>
  </si>
  <si>
    <t>**wskakunin_sekkei9__sikaku</t>
  </si>
  <si>
    <t>cst_wskakunin_sekkei9__sikaku</t>
  </si>
  <si>
    <t>**wskakunin_sekkei9_SIKAKU__label</t>
  </si>
  <si>
    <t>cst_wskakunin_sekkei9_SIKAKU</t>
  </si>
  <si>
    <t>**wskakunin_sekkei9_TOUROKU_KIKAN__label</t>
  </si>
  <si>
    <t>cst_wskakunin_sekkei9_TOUROKU_KIKAN</t>
  </si>
  <si>
    <t>**wskakunin_sekkei9_KENTIKUSI_NO</t>
  </si>
  <si>
    <t>cst_wskakunin_sekkei9_KENTIKUSI_NO</t>
  </si>
  <si>
    <t>**wskakunin_sekkei9_NAME</t>
  </si>
  <si>
    <t>cst_wskakunin_sekkei9_NAME</t>
  </si>
  <si>
    <t>**wskakunin_sekkei9_JIMU__sikaku</t>
  </si>
  <si>
    <t>cst_wskakunin_sekkei9_JIMU__sikaku</t>
  </si>
  <si>
    <t>**wskakunin_sekkei9_JIMU_SIKAKU__label</t>
  </si>
  <si>
    <t>cst_wskakunin_sekkei9_JIMU_SIKAKU</t>
  </si>
  <si>
    <t>**wskakunin_sekkei9_JIMU_TOUROKU_KIKAN__label</t>
  </si>
  <si>
    <t>cst_wskakunin_sekkei9_JIMU_TOUROKU_KIKAN</t>
  </si>
  <si>
    <t>**wskakunin_sekkei9_JIMU_NO</t>
  </si>
  <si>
    <t>cst_wskakunin_sekkei9_JIMU_NO</t>
  </si>
  <si>
    <t>**wskakunin_sekkei9_JIMU_NAME</t>
  </si>
  <si>
    <t>cst_wskakunin_sekkei9_JIMU_NAME</t>
  </si>
  <si>
    <t>cst_wskakunin_sekkei9_jimuname_name</t>
  </si>
  <si>
    <t>**wskakunin_sekkei9_ZIP</t>
  </si>
  <si>
    <t>cst_wskakunin_sekkei9_ZIP</t>
  </si>
  <si>
    <t>**wskakunin_sekkei9__address</t>
  </si>
  <si>
    <t>cst_wskakunin_sekkei9__address</t>
  </si>
  <si>
    <t>**wskakunin_sekkei9_TEL</t>
  </si>
  <si>
    <t>cst_wskakunin_sekkei9_TEL</t>
  </si>
  <si>
    <t>**wskakunin_sekkei9_DOC</t>
  </si>
  <si>
    <t>cst_wskakunin_sekkei9_DOC</t>
  </si>
  <si>
    <t>設計者10</t>
  </si>
  <si>
    <t>**wskakunin_sekkei10__sikaku</t>
  </si>
  <si>
    <t>cst_wskakunin_sekkei10__sikaku</t>
  </si>
  <si>
    <t>**wskakunin_sekkei10_SIKAKU__label</t>
  </si>
  <si>
    <t>cst_wskakunin_sekkei10_SIKAKU</t>
  </si>
  <si>
    <t>**wskakunin_sekkei10_TOUROKU_KIKAN__label</t>
  </si>
  <si>
    <t>cst_wskakunin_sekkei10_TOUROKU_KIKAN</t>
  </si>
  <si>
    <t>**wskakunin_sekkei10_KENTIKUSI_NO</t>
  </si>
  <si>
    <t>cst_wskakunin_sekkei10_KENTIKUSI_NO</t>
  </si>
  <si>
    <t>**wskakunin_sekkei10_NAME</t>
  </si>
  <si>
    <t>cst_wskakunin_sekkei10_NAME</t>
  </si>
  <si>
    <t>**wskakunin_sekkei10_JIMU__sikaku</t>
  </si>
  <si>
    <t>cst_wskakunin_sekkei10_JIMU__sikaku</t>
  </si>
  <si>
    <t>**wskakunin_sekkei10_JIMU_SIKAKU__label</t>
  </si>
  <si>
    <t>cst_wskakunin_sekkei10_JIMU_SIKAKU</t>
  </si>
  <si>
    <t>**wskakunin_sekkei10_JIMU_TOUROKU_KIKAN__label</t>
  </si>
  <si>
    <t>cst_wskakunin_sekkei10_JIMU_TOUROKU_KIKAN</t>
  </si>
  <si>
    <t>**wskakunin_sekkei10_JIMU_NO</t>
  </si>
  <si>
    <t>cst_wskakunin_sekkei10_JIMU_NO</t>
  </si>
  <si>
    <t>**wskakunin_sekkei10_JIMU_NAME</t>
  </si>
  <si>
    <t>cst_wskakunin_sekkei10_JIMU_NAME</t>
  </si>
  <si>
    <t>cst_wskakunin_sekkei10_jimuname_name</t>
  </si>
  <si>
    <t>**wskakunin_sekkei10_ZIP</t>
  </si>
  <si>
    <t>cst_wskakunin_sekkei10_ZIP</t>
  </si>
  <si>
    <t>**wskakunin_sekkei10__address</t>
  </si>
  <si>
    <t>cst_wskakunin_sekkei10__address</t>
  </si>
  <si>
    <t>**wskakunin_sekkei10_TEL</t>
  </si>
  <si>
    <t>cst_wskakunin_sekkei10_TEL</t>
  </si>
  <si>
    <t>**wskakunin_sekkei10_DOC</t>
  </si>
  <si>
    <t>cst_wskakunin_sekkei10_DOC</t>
  </si>
  <si>
    <t>設計者11</t>
  </si>
  <si>
    <t>**wskakunin_sekkei11__sikaku</t>
  </si>
  <si>
    <t>cst_wskakunin_sekkei11__sikaku</t>
  </si>
  <si>
    <t>**wskakunin_sekkei11_SIKAKU__label</t>
  </si>
  <si>
    <t>cst_wskakunin_sekkei11_SIKAKU</t>
  </si>
  <si>
    <t>**wskakunin_sekkei11_TOUROKU_KIKAN__label</t>
  </si>
  <si>
    <t>cst_wskakunin_sekkei11_TOUROKU_KIKAN</t>
  </si>
  <si>
    <t>**wskakunin_sekkei11_KENTIKUSI_NO</t>
  </si>
  <si>
    <t>cst_wskakunin_sekkei11_KENTIKUSI_NO</t>
  </si>
  <si>
    <t>**wskakunin_sekkei11_NAME</t>
  </si>
  <si>
    <t>cst_wskakunin_sekkei11_NAME</t>
  </si>
  <si>
    <t>**wskakunin_sekkei11_JIMU__sikaku</t>
  </si>
  <si>
    <t>cst_wskakunin_sekkei11_JIMU__sikaku</t>
  </si>
  <si>
    <t>**wskakunin_sekkei11_JIMU_SIKAKU__label</t>
  </si>
  <si>
    <t>cst_wskakunin_sekkei11_JIMU_SIKAKU</t>
  </si>
  <si>
    <t>**wskakunin_sekkei11_JIMU_TOUROKU_KIKAN__label</t>
  </si>
  <si>
    <t>cst_wskakunin_sekkei11_JIMU_TOUROKU_KIKAN</t>
  </si>
  <si>
    <t>**wskakunin_sekkei11_JIMU_NO</t>
  </si>
  <si>
    <t>cst_wskakunin_sekkei11_JIMU_NO</t>
  </si>
  <si>
    <t>**wskakunin_sekkei11_JIMU_NAME</t>
  </si>
  <si>
    <t>cst_wskakunin_sekkei11_JIMU_NAME</t>
  </si>
  <si>
    <t>cst_wskakunin_sekkei11_jimuname_name</t>
  </si>
  <si>
    <t>**wskakunin_sekkei11_ZIP</t>
  </si>
  <si>
    <t>cst_wskakunin_sekkei11_ZIP</t>
  </si>
  <si>
    <t>**wskakunin_sekkei11__address</t>
  </si>
  <si>
    <t>cst_wskakunin_sekkei11__address</t>
  </si>
  <si>
    <t>**wskakunin_sekkei11_TEL</t>
  </si>
  <si>
    <t>cst_wskakunin_sekkei11_TEL</t>
  </si>
  <si>
    <t>**wskakunin_sekkei11_DOC</t>
  </si>
  <si>
    <t>cst_wskakunin_sekkei11_DOC</t>
  </si>
  <si>
    <t>設計者12</t>
  </si>
  <si>
    <t>**wskakunin_sekkei12__sikaku</t>
  </si>
  <si>
    <t>cst_wskakunin_sekkei12__sikaku</t>
  </si>
  <si>
    <t>**wskakunin_sekkei12_SIKAKU__label</t>
  </si>
  <si>
    <t>cst_wskakunin_sekkei12_SIKAKU</t>
  </si>
  <si>
    <t>**wskakunin_sekkei12_TOUROKU_KIKAN__label</t>
  </si>
  <si>
    <t>cst_wskakunin_sekkei12_TOUROKU_KIKAN</t>
  </si>
  <si>
    <t>**wskakunin_sekkei12_KENTIKUSI_NO</t>
  </si>
  <si>
    <t>cst_wskakunin_sekkei12_KENTIKUSI_NO</t>
  </si>
  <si>
    <t>**wskakunin_sekkei12_NAME</t>
  </si>
  <si>
    <t>cst_wskakunin_sekkei12_NAME</t>
  </si>
  <si>
    <t>**wskakunin_sekkei12_JIMU__sikaku</t>
  </si>
  <si>
    <t>cst_wskakunin_sekkei12_JIMU__sikaku</t>
  </si>
  <si>
    <t>**wskakunin_sekkei12_JIMU_SIKAKU__label</t>
  </si>
  <si>
    <t>cst_wskakunin_sekkei12_JIMU_SIKAKU</t>
  </si>
  <si>
    <t>**wskakunin_sekkei12_JIMU_TOUROKU_KIKAN__label</t>
  </si>
  <si>
    <t>cst_wskakunin_sekkei12_JIMU_TOUROKU_KIKAN</t>
  </si>
  <si>
    <t>**wskakunin_sekkei12_JIMU_NO</t>
  </si>
  <si>
    <t>cst_wskakunin_sekkei12_JIMU_NO</t>
  </si>
  <si>
    <t>**wskakunin_sekkei12_JIMU_NAME</t>
  </si>
  <si>
    <t>cst_wskakunin_sekkei12_JIMU_NAME</t>
  </si>
  <si>
    <t>cst_wskakunin_sekkei12_jimuname_name</t>
  </si>
  <si>
    <t>**wskakunin_sekkei12_ZIP</t>
  </si>
  <si>
    <t>cst_wskakunin_sekkei12_ZIP</t>
  </si>
  <si>
    <t>**wskakunin_sekkei12__address</t>
  </si>
  <si>
    <t>cst_wskakunin_sekkei12__address</t>
  </si>
  <si>
    <t>**wskakunin_sekkei12_TEL</t>
  </si>
  <si>
    <t>cst_wskakunin_sekkei12_TEL</t>
  </si>
  <si>
    <t>**wskakunin_sekkei12_DOC</t>
  </si>
  <si>
    <t>cst_wskakunin_sekkei12_DOC</t>
  </si>
  <si>
    <t>（構造設計一級建築士又は設備設計一級建築士である旨の表示をした者）</t>
  </si>
  <si>
    <t>建築士法第20条の２第１項の表示をした者</t>
  </si>
  <si>
    <t>【ｲ.氏名】</t>
  </si>
  <si>
    <t>**wskakunin_20kouzou101_NAME</t>
  </si>
  <si>
    <t>cst_wskakunin_20kouzou101_NAME</t>
  </si>
  <si>
    <t>【ﾛ.資格】構造設計一級建築士交付番号</t>
  </si>
  <si>
    <t>**wskakunin_20kouzou101_KOUZOUSEKKEI_KOUFU_NO</t>
  </si>
  <si>
    <t>cst_wskakunin_20kouzou101_KOUZOUSEKKEI_KOUFU_NO</t>
  </si>
  <si>
    <t>**wskakunin_20kouzou102_NAME</t>
  </si>
  <si>
    <t>cst_wskakunin_20kouzou102_NAME</t>
  </si>
  <si>
    <t>**wskakunin_20kouzou102_KOUZOUSEKKEI_KOUFU_NO</t>
  </si>
  <si>
    <t>cst_wskakunin_20kouzou102_KOUZOUSEKKEI_KOUFU_NO</t>
  </si>
  <si>
    <t>**wskakunin_20kouzou103_NAME</t>
  </si>
  <si>
    <t>cst_wskakunin_20kouzou103_NAME</t>
  </si>
  <si>
    <t>**wskakunin_20kouzou103_KOUZOUSEKKEI_KOUFU_NO</t>
  </si>
  <si>
    <t>cst_wskakunin_20kouzou103_KOUZOUSEKKEI_KOUFU_NO</t>
  </si>
  <si>
    <t>**wskakunin_20kouzou104_NAME</t>
  </si>
  <si>
    <t>cst_wskakunin_20kouzou104_NAME</t>
  </si>
  <si>
    <t>**wskakunin_20kouzou104_KOUZOUSEKKEI_KOUFU_NO</t>
  </si>
  <si>
    <t>cst_wskakunin_20kouzou104_KOUZOUSEKKEI_KOUFU_NO</t>
  </si>
  <si>
    <t>**wskakunin_20kouzou105_NAME</t>
  </si>
  <si>
    <t>cst_wskakunin_20kouzou105_NAME</t>
  </si>
  <si>
    <t>**wskakunin_20kouzou105_KOUZOUSEKKEI_KOUFU_NO</t>
  </si>
  <si>
    <t>cst_wskakunin_20kouzou105_KOUZOUSEKKEI_KOUFU_NO</t>
  </si>
  <si>
    <t>建築士法第20条の２第３項の表示をした者</t>
  </si>
  <si>
    <t>**wskakunin_20kouzou301_NAME</t>
  </si>
  <si>
    <t>cst_wskakunin_20kouzou301_NAME</t>
  </si>
  <si>
    <t>**wskakunin_20kouzou301_KOUZOUSEKKEI_KOUFU_NO</t>
  </si>
  <si>
    <t>cst_wskakunin_20kouzou301_KOUZOUSEKKEI_KOUFU_NO</t>
  </si>
  <si>
    <t>**wskakunin_20kouzou302_NAME</t>
  </si>
  <si>
    <t>cst_wskakunin_20kouzou302_NAME</t>
  </si>
  <si>
    <t>**wskakunin_20kouzou302_KOUZOUSEKKEI_KOUFU_NO</t>
  </si>
  <si>
    <t>cst_wskakunin_20kouzou302_KOUZOUSEKKEI_KOUFU_NO</t>
  </si>
  <si>
    <t>**wskakunin_20kouzou303_NAME</t>
  </si>
  <si>
    <t>cst_wskakunin_20kouzou303_NAME</t>
  </si>
  <si>
    <t>**wskakunin_20kouzou303_KOUZOUSEKKEI_KOUFU_NO</t>
  </si>
  <si>
    <t>cst_wskakunin_20kouzou303_KOUZOUSEKKEI_KOUFU_NO</t>
  </si>
  <si>
    <t>**wskakunin_20kouzou304_NAME</t>
  </si>
  <si>
    <t>cst_wskakunin_20kouzou304_NAME</t>
  </si>
  <si>
    <t>**wskakunin_20kouzou304_KOUZOUSEKKEI_KOUFU_NO</t>
  </si>
  <si>
    <t>cst_wskakunin_20kouzou304_KOUZOUSEKKEI_KOUFU_NO</t>
  </si>
  <si>
    <t>**wskakunin_20kouzou305_NAME</t>
  </si>
  <si>
    <t>cst_wskakunin_20kouzou305_NAME</t>
  </si>
  <si>
    <t>**wskakunin_20kouzou305_KOUZOUSEKKEI_KOUFU_NO</t>
  </si>
  <si>
    <t>cst_wskakunin_20kouzou305_KOUZOUSEKKEI_KOUFU_NO</t>
  </si>
  <si>
    <t>建築士法第20条の３第１項の表示をした者</t>
  </si>
  <si>
    <t>**wskakunin_20setubi101_NAME</t>
  </si>
  <si>
    <t>cst_wskakunin_20setubi101_NAME</t>
  </si>
  <si>
    <t>【ﾛ.資格】設備設計一級建築士交付番号</t>
  </si>
  <si>
    <t>**wskakunin_20setubi101_SETUBISEKKEI_KOUFU_NO</t>
  </si>
  <si>
    <t>cst_wskakunin_20setubi101_SETUBISEKKEI_KOUFU_NO</t>
  </si>
  <si>
    <t>**wskakunin_20setubi102_NAME</t>
  </si>
  <si>
    <t>cst_wskakunin_20setubi102_NAME</t>
  </si>
  <si>
    <t>**wskakunin_20setubi102_SETUBISEKKEI_KOUFU_NO</t>
  </si>
  <si>
    <t>cst_wskakunin_20setubi102_SETUBISEKKEI_KOUFU_NO</t>
  </si>
  <si>
    <t>**wskakunin_20setubi103_NAME</t>
  </si>
  <si>
    <t>cst_wskakunin_20setubi103_NAME</t>
  </si>
  <si>
    <t>**wskakunin_20setubi103_SETUBISEKKEI_KOUFU_NO</t>
  </si>
  <si>
    <t>cst_wskakunin_20setubi103_SETUBISEKKEI_KOUFU_NO</t>
  </si>
  <si>
    <t>**wskakunin_20setubi104_NAME</t>
  </si>
  <si>
    <t>cst_wskakunin_20setubi104_NAME</t>
  </si>
  <si>
    <t>**wskakunin_20setubi104_SETUBISEKKEI_KOUFU_NO</t>
  </si>
  <si>
    <t>cst_wskakunin_20setubi104_SETUBISEKKEI_KOUFU_NO</t>
  </si>
  <si>
    <t>**wskakunin_20setubi105_NAME</t>
  </si>
  <si>
    <t>cst_wskakunin_20setubi105_NAME</t>
  </si>
  <si>
    <t>**wskakunin_20setubi105_SETUBISEKKEI_KOUFU_NO</t>
  </si>
  <si>
    <t>cst_wskakunin_20setubi105_SETUBISEKKEI_KOUFU_NO</t>
  </si>
  <si>
    <t>建築士法第20条の３第３項の表示をした者</t>
  </si>
  <si>
    <t>**wskakunin_20setubi301_NAME</t>
  </si>
  <si>
    <t>cst_wskakunin_20setubi301_NAME</t>
  </si>
  <si>
    <t>**wskakunin_20setubi301_SETUBISEKKEI_KOUFU_NO</t>
  </si>
  <si>
    <t>cst_wskakunin_20setubi301_SETUBISEKKEI_KOUFU_NO</t>
  </si>
  <si>
    <t>**wskakunin_20setubi302_NAME</t>
  </si>
  <si>
    <t>cst_wskakunin_20setubi302_NAME</t>
  </si>
  <si>
    <t>**wskakunin_20setubi302_SETUBISEKKEI_KOUFU_NO</t>
  </si>
  <si>
    <t>cst_wskakunin_20setubi302_SETUBISEKKEI_KOUFU_NO</t>
  </si>
  <si>
    <t>**wskakunin_20setubi303_NAME</t>
  </si>
  <si>
    <t>cst_wskakunin_20setubi303_NAME</t>
  </si>
  <si>
    <t>**wskakunin_20setubi303_SETUBISEKKEI_KOUFU_NO</t>
  </si>
  <si>
    <t>cst_wskakunin_20setubi303_SETUBISEKKEI_KOUFU_NO</t>
  </si>
  <si>
    <t>**wskakunin_20setubi304_NAME</t>
  </si>
  <si>
    <t>cst_wskakunin_20setubi304_NAME</t>
  </si>
  <si>
    <t>**wskakunin_20setubi304_SETUBISEKKEI_KOUFU_NO</t>
  </si>
  <si>
    <t>cst_wskakunin_20setubi304_SETUBISEKKEI_KOUFU_NO</t>
  </si>
  <si>
    <t>**wskakunin_20setubi305_NAME</t>
  </si>
  <si>
    <t>cst_wskakunin_20setubi305_NAME</t>
  </si>
  <si>
    <t>**wskakunin_20setubi305_SETUBISEKKEI_KOUFU_NO</t>
  </si>
  <si>
    <t>cst_wskakunin_20setubi305_SETUBISEKKEI_KOUFU_NO</t>
  </si>
  <si>
    <t>【4.建築設備の設計に関し意見を聴いた者】</t>
  </si>
  <si>
    <t>（代表となる建築設備の設計に関し意見を聴いた者）</t>
  </si>
  <si>
    <t>**wskakunin_iken1_NAME</t>
  </si>
  <si>
    <t>cst_wskakunin_iken1_NAME</t>
  </si>
  <si>
    <t>【ﾛ.勤務先】</t>
  </si>
  <si>
    <t>**wskakunin_iken1_JIMU_NAME</t>
  </si>
  <si>
    <t>cst_wskakunin_iken1_JIMU_NAME</t>
  </si>
  <si>
    <t>【ﾊ.郵便番号】</t>
  </si>
  <si>
    <t>**wskakunin_iken1_ZIP</t>
  </si>
  <si>
    <t>cst_wskakunin_iken1_ZIP</t>
  </si>
  <si>
    <t>【ﾆ.所在地】</t>
  </si>
  <si>
    <t>**wskakunin_iken1__address</t>
  </si>
  <si>
    <t>cst_wskakunin_iken1__address</t>
  </si>
  <si>
    <t>【ﾎ.電話番号】</t>
  </si>
  <si>
    <t>**wskakunin_iken1_TEL</t>
  </si>
  <si>
    <t>cst_wskakunin_iken1_TEL</t>
  </si>
  <si>
    <t>【ﾍ.登録番号】</t>
  </si>
  <si>
    <t>**wskakunin_iken1_IKEN_NO</t>
  </si>
  <si>
    <t>cst_wskakunin_iken1_IKEN_NO</t>
  </si>
  <si>
    <t>【ﾄ.意見を聴いた設計図書】</t>
  </si>
  <si>
    <t>**wskakunin_iken1_DOC</t>
  </si>
  <si>
    <t>cst_wskakunin_iken1_DOC</t>
  </si>
  <si>
    <t>（その他の建築設備の設計に関し意見を聴いた者１）</t>
  </si>
  <si>
    <t>**wskakunin_iken2_NAME</t>
  </si>
  <si>
    <t>cst_wskakunin_iken2_NAME</t>
  </si>
  <si>
    <t>**wskakunin_iken2_JIMU_NAME</t>
  </si>
  <si>
    <t>cst_wskakunin_iken2_JIMU_NAME</t>
  </si>
  <si>
    <t>**wskakunin_iken2_ZIP</t>
  </si>
  <si>
    <t>cst_wskakunin_iken2_ZIP</t>
  </si>
  <si>
    <t>**wskakunin_iken2__address</t>
  </si>
  <si>
    <t>cst_wskakunin_iken2__address</t>
  </si>
  <si>
    <t>**wskakunin_iken2_TEL</t>
  </si>
  <si>
    <t>cst_wskakunin_iken2_TEL</t>
  </si>
  <si>
    <t>**wskakunin_iken2_IKEN_NO</t>
  </si>
  <si>
    <t>cst_wskakunin_iken2_IKEN_NO</t>
  </si>
  <si>
    <t>**wskakunin_iken2_DOC</t>
  </si>
  <si>
    <t>cst_wskakunin_iken2_DOC</t>
  </si>
  <si>
    <t>（その他の建築設備の設計に関し意見を聴いた者２）</t>
  </si>
  <si>
    <t>**wskakunin_iken3_NAME</t>
  </si>
  <si>
    <t>cst_wskakunin_iken3_NAME</t>
  </si>
  <si>
    <t>**wskakunin_iken3_JIMU_NAME</t>
  </si>
  <si>
    <t>cst_wskakunin_iken3_JIMU_NAME</t>
  </si>
  <si>
    <t>**wskakunin_iken3_ZIP</t>
  </si>
  <si>
    <t>cst_wskakunin_iken3_ZIP</t>
  </si>
  <si>
    <t>**wskakunin_iken3__address</t>
  </si>
  <si>
    <t>cst_wskakunin_iken3__address</t>
  </si>
  <si>
    <t>**wskakunin_iken3_TEL</t>
  </si>
  <si>
    <t>cst_wskakunin_iken3_TEL</t>
  </si>
  <si>
    <t>**wskakunin_iken3_IKEN_NO</t>
  </si>
  <si>
    <t>cst_wskakunin_iken3_IKEN_NO</t>
  </si>
  <si>
    <t>**wskakunin_iken3_DOC</t>
  </si>
  <si>
    <t>cst_wskakunin_iken3_DOC</t>
  </si>
  <si>
    <t>（その他の建築設備の設計に関し意見を聴いた者３）</t>
  </si>
  <si>
    <t>**wskakunin_iken4_NAME</t>
  </si>
  <si>
    <t>cst_wskakunin_iken4_NAME</t>
  </si>
  <si>
    <t>**wskakunin_iken4_JIMU_NAME</t>
  </si>
  <si>
    <t>cst_wskakunin_iken4_JIMU_NAME</t>
  </si>
  <si>
    <t>**wskakunin_iken4_ZIP</t>
  </si>
  <si>
    <t>cst_wskakunin_iken4_ZIP</t>
  </si>
  <si>
    <t>**wskakunin_iken4__address</t>
  </si>
  <si>
    <t>cst_wskakunin_iken4__address</t>
  </si>
  <si>
    <t>**wskakunin_iken4_TEL</t>
  </si>
  <si>
    <t>cst_wskakunin_iken4_TEL</t>
  </si>
  <si>
    <t>**wskakunin_iken4_IKEN_NO</t>
  </si>
  <si>
    <t>cst_wskakunin_iken4_IKEN_NO</t>
  </si>
  <si>
    <t>**wskakunin_iken4_DOC</t>
  </si>
  <si>
    <t>cst_wskakunin_iken4_DOC</t>
  </si>
  <si>
    <t>（その他の建築設備の設計に関し意見を聴いた者４）</t>
  </si>
  <si>
    <t>**wskakunin_iken5_NAME</t>
  </si>
  <si>
    <t>cst_wskakunin_iken5_NAME</t>
  </si>
  <si>
    <t>**wskakunin_iken5_JIMU_NAME</t>
  </si>
  <si>
    <t>cst_wskakunin_iken5_JIMU_NAME</t>
  </si>
  <si>
    <t>**wskakunin_iken5_ZIP</t>
  </si>
  <si>
    <t>cst_wskakunin_iken5_ZIP</t>
  </si>
  <si>
    <t>**wskakunin_iken5__address</t>
  </si>
  <si>
    <t>cst_wskakunin_iken5__address</t>
  </si>
  <si>
    <t>**wskakunin_iken5_TEL</t>
  </si>
  <si>
    <t>cst_wskakunin_iken5_TEL</t>
  </si>
  <si>
    <t>**wskakunin_iken5_IKEN_NO</t>
  </si>
  <si>
    <t>cst_wskakunin_iken5_IKEN_NO</t>
  </si>
  <si>
    <t>**wskakunin_iken5_DOC</t>
  </si>
  <si>
    <t>cst_wskakunin_iken5_DOC</t>
  </si>
  <si>
    <t>監理者1</t>
  </si>
  <si>
    <t>（代表となる工事監理者）</t>
  </si>
  <si>
    <t>**wskakunin_kanri1__sikaku</t>
  </si>
  <si>
    <t>cst_wskakunin_kanri1__sikaku</t>
  </si>
  <si>
    <t>**wskakunin_kanri1_SIKAKU__label</t>
  </si>
  <si>
    <t>cst_wskakunin_kanri1_SIKAKU</t>
  </si>
  <si>
    <t>**wskakunin_kanri1_TOUROKU_KIKAN__label</t>
  </si>
  <si>
    <t>cst_wskakunin_kanri1_TOUROKU_KIKAN</t>
  </si>
  <si>
    <t>**wskakunin_kanri1_KENTIKUSI_NO</t>
  </si>
  <si>
    <t>cst_wskakunin_kanri1_KENTIKUSI_NO</t>
  </si>
  <si>
    <t>**wskakunin_kanri1_NAME</t>
  </si>
  <si>
    <t>cst_wskakunin_kanri1_NAME</t>
  </si>
  <si>
    <t>**wskakunin_kanri1_JIMU__sikaku</t>
  </si>
  <si>
    <t>cst_wskakunin_kanri1_JIMU__sikaku</t>
  </si>
  <si>
    <t>**wskakunin_kanri1_JIMU_SIKAKU__label</t>
  </si>
  <si>
    <t>cst_wskakunin_kanri1_JIMU_SIKAKU</t>
  </si>
  <si>
    <t>**wskakunin_kanri1_JIMU_TOUROKU_KIKAN__label</t>
  </si>
  <si>
    <t>cst_wskakunin_kanri1_JIMU_TOUROKU_KIKAN</t>
  </si>
  <si>
    <t>**wskakunin_kanri1_JIMU_NO</t>
  </si>
  <si>
    <t>cst_wskakunin_kanri1_JIMU_NO</t>
  </si>
  <si>
    <t>**wskakunin_kanri1_JIMU_NAME</t>
  </si>
  <si>
    <t>cst_wskakunin_kanri1_JIMU_NAME</t>
  </si>
  <si>
    <t>**wskakunin_kanri1_ZIP</t>
  </si>
  <si>
    <t>cst_wskakunin_kanri1_ZIP</t>
  </si>
  <si>
    <t>cst_wskakunin_kanri1_ZIP2</t>
  </si>
  <si>
    <t>**wskakunin_kanri1__address</t>
  </si>
  <si>
    <t>cst_wskakunin_kanri1__address</t>
  </si>
  <si>
    <t>**wskakunin_kanri1_TEL</t>
  </si>
  <si>
    <t>cst_wskakunin_kanri1_TEL</t>
  </si>
  <si>
    <t>**wskakunin_kanri1_DOC</t>
  </si>
  <si>
    <t>cst_wskakunin_kanri1_DOC</t>
  </si>
  <si>
    <t>監理者2</t>
  </si>
  <si>
    <t>（その他の工事監理者）</t>
  </si>
  <si>
    <t>**wskakunin_kanri2__sikaku</t>
  </si>
  <si>
    <t>cst_wskakunin_kanri2__sikaku</t>
  </si>
  <si>
    <t>**wskakunin_kanri2_SIKAKU__label</t>
  </si>
  <si>
    <t>cst_wskakunin_kanri2_SIKAKU</t>
  </si>
  <si>
    <t>**wskakunin_kanri2_TOUROKU_KIKAN__label</t>
  </si>
  <si>
    <t>cst_wskakunin_kanri2_TOUROKU_KIKAN</t>
  </si>
  <si>
    <t>**wskakunin_kanri2_KENTIKUSI_NO</t>
  </si>
  <si>
    <t>cst_wskakunin_kanri2_KENTIKUSI_NO</t>
  </si>
  <si>
    <t>**wskakunin_kanri2_NAME</t>
  </si>
  <si>
    <t>cst_wskakunin_kanri2_NAME</t>
  </si>
  <si>
    <t>**wskakunin_kanri2_JIMU__sikaku</t>
  </si>
  <si>
    <t>cst_wskakunin_kanri2_JIMU__sikaku</t>
  </si>
  <si>
    <t>**wskakunin_kanri2_JIMU_SIKAKU__label</t>
  </si>
  <si>
    <t>cst_wskakunin_kanri2_JIMU_SIKAKU</t>
  </si>
  <si>
    <t>**wskakunin_kanri2_JIMU_TOUROKU_KIKAN__label</t>
  </si>
  <si>
    <t>cst_wskakunin_kanri2_JIMU_TOUROKU_KIKAN</t>
  </si>
  <si>
    <t>**wskakunin_kanri2_JIMU_NO</t>
  </si>
  <si>
    <t>cst_wskakunin_kanri2_JIMU_NO</t>
  </si>
  <si>
    <t>**wskakunin_kanri2_JIMU_NAME</t>
  </si>
  <si>
    <t>cst_wskakunin_kanri2_JIMU_NAME</t>
  </si>
  <si>
    <t>**wskakunin_kanri2_ZIP</t>
  </si>
  <si>
    <t>cst_wskakunin_kanri2_ZIP</t>
  </si>
  <si>
    <t>**wskakunin_kanri2__address</t>
  </si>
  <si>
    <t>cst_wskakunin_kanri2__address</t>
  </si>
  <si>
    <t>**wskakunin_kanri2_TEL</t>
  </si>
  <si>
    <t>cst_wskakunin_kanri2_TEL</t>
  </si>
  <si>
    <t>**wskakunin_kanri2_DOC</t>
  </si>
  <si>
    <t>cst_wskakunin_kanri2_DOC</t>
  </si>
  <si>
    <t>監理者3</t>
  </si>
  <si>
    <t>**wskakunin_kanri3__sikaku</t>
  </si>
  <si>
    <t>cst_wskakunin_kanri3__sikaku</t>
  </si>
  <si>
    <t>**wskakunin_kanri3_SIKAKU__label</t>
  </si>
  <si>
    <t>cst_wskakunin_kanri3_SIKAKU</t>
  </si>
  <si>
    <t>**wskakunin_kanri3_TOUROKU_KIKAN__label</t>
  </si>
  <si>
    <t>cst_wskakunin_kanri3_TOUROKU_KIKAN</t>
  </si>
  <si>
    <t>**wskakunin_kanri3_KENTIKUSI_NO</t>
  </si>
  <si>
    <t>cst_wskakunin_kanri3_KENTIKUSI_NO</t>
  </si>
  <si>
    <t>**wskakunin_kanri3_NAME</t>
  </si>
  <si>
    <t>cst_wskakunin_kanri3_NAME</t>
  </si>
  <si>
    <t>**wskakunin_kanri3_JIMU__sikaku</t>
  </si>
  <si>
    <t>cst_wskakunin_kanri3_JIMU__sikaku</t>
  </si>
  <si>
    <t>**wskakunin_kanri3_JIMU_SIKAKU__label</t>
  </si>
  <si>
    <t>cst_wskakunin_kanri3_JIMU_SIKAKU</t>
  </si>
  <si>
    <t>**wskakunin_kanri3_JIMU_TOUROKU_KIKAN__label</t>
  </si>
  <si>
    <t>cst_wskakunin_kanri3_JIMU_TOUROKU_KIKAN</t>
  </si>
  <si>
    <t>**wskakunin_kanri3_JIMU_NO</t>
  </si>
  <si>
    <t>cst_wskakunin_kanri3_JIMU_NO</t>
  </si>
  <si>
    <t>**wskakunin_kanri3_JIMU_NAME</t>
  </si>
  <si>
    <t>cst_wskakunin_kanri3_JIMU_NAME</t>
  </si>
  <si>
    <t>**wskakunin_kanri3_ZIP</t>
  </si>
  <si>
    <t>cst_wskakunin_kanri3_ZIP</t>
  </si>
  <si>
    <t>**wskakunin_kanri3__address</t>
  </si>
  <si>
    <t>cst_wskakunin_kanri3__address</t>
  </si>
  <si>
    <t>**wskakunin_kanri3_TEL</t>
  </si>
  <si>
    <t>cst_wskakunin_kanri3_TEL</t>
  </si>
  <si>
    <t>**wskakunin_kanri3_DOC</t>
  </si>
  <si>
    <t>cst_wskakunin_kanri3_DOC</t>
  </si>
  <si>
    <t>監理者4</t>
  </si>
  <si>
    <t>**wskakunin_kanri4__sikaku</t>
  </si>
  <si>
    <t>cst_wskakunin_kanri4__sikaku</t>
  </si>
  <si>
    <t>**wskakunin_kanri4_SIKAKU__label</t>
  </si>
  <si>
    <t>cst_wskakunin_kanri4_SIKAKU</t>
  </si>
  <si>
    <t>**wskakunin_kanri4_TOUROKU_KIKAN__label</t>
  </si>
  <si>
    <t>cst_wskakunin_kanri4_TOUROKU_KIKAN</t>
  </si>
  <si>
    <t>**wskakunin_kanri4_KENTIKUSI_NO</t>
  </si>
  <si>
    <t>cst_wskakunin_kanri4_KENTIKUSI_NO</t>
  </si>
  <si>
    <t>**wskakunin_kanri4_NAME</t>
  </si>
  <si>
    <t>cst_wskakunin_kanri4_NAME</t>
  </si>
  <si>
    <t>**wskakunin_kanri4_JIMU__sikaku</t>
  </si>
  <si>
    <t>cst_wskakunin_kanri4_JIMU__sikaku</t>
  </si>
  <si>
    <t>**wskakunin_kanri4_JIMU_SIKAKU__label</t>
  </si>
  <si>
    <t>cst_wskakunin_kanri4_JIMU_SIKAKU</t>
  </si>
  <si>
    <t>**wskakunin_kanri4_JIMU_TOUROKU_KIKAN__label</t>
  </si>
  <si>
    <t>cst_wskakunin_kanri4_JIMU_TOUROKU_KIKAN</t>
  </si>
  <si>
    <t>**wskakunin_kanri4_JIMU_NO</t>
  </si>
  <si>
    <t>cst_wskakunin_kanri4_JIMU_NO</t>
  </si>
  <si>
    <t>**wskakunin_kanri4_JIMU_NAME</t>
  </si>
  <si>
    <t>cst_wskakunin_kanri4_JIMU_NAME</t>
  </si>
  <si>
    <t>**wskakunin_kanri4_ZIP</t>
  </si>
  <si>
    <t>cst_wskakunin_kanri4_ZIP</t>
  </si>
  <si>
    <t>**wskakunin_kanri4__address</t>
  </si>
  <si>
    <t>cst_wskakunin_kanri4__address</t>
  </si>
  <si>
    <t>**wskakunin_kanri4_TEL</t>
  </si>
  <si>
    <t>cst_wskakunin_kanri4_TEL</t>
  </si>
  <si>
    <t>**wskakunin_kanri4_DOC</t>
  </si>
  <si>
    <t>cst_wskakunin_kanri4_DOC</t>
  </si>
  <si>
    <t>監理者5</t>
  </si>
  <si>
    <t>**wskakunin_kanri5__sikaku</t>
  </si>
  <si>
    <t>cst_wskakunin_kanri5__sikaku</t>
  </si>
  <si>
    <t>**wskakunin_kanri5_SIKAKU__label</t>
  </si>
  <si>
    <t>cst_wskakunin_kanri5_SIKAKU</t>
  </si>
  <si>
    <t>**wskakunin_kanri5_TOUROKU_KIKAN__label</t>
  </si>
  <si>
    <t>cst_wskakunin_kanri5_TOUROKU_KIKAN</t>
  </si>
  <si>
    <t>**wskakunin_kanri5_KENTIKUSI_NO</t>
  </si>
  <si>
    <t>cst_wskakunin_kanri5_KENTIKUSI_NO</t>
  </si>
  <si>
    <t>**wskakunin_kanri5_NAME</t>
  </si>
  <si>
    <t>cst_wskakunin_kanri5_NAME</t>
  </si>
  <si>
    <t>**wskakunin_kanri5_JIMU__sikaku</t>
  </si>
  <si>
    <t>cst_wskakunin_kanri5_JIMU__sikaku</t>
  </si>
  <si>
    <t>**wskakunin_kanri5_JIMU_SIKAKU__label</t>
  </si>
  <si>
    <t>cst_wskakunin_kanri5_JIMU_SIKAKU</t>
  </si>
  <si>
    <t>**wskakunin_kanri5_JIMU_TOUROKU_KIKAN__label</t>
  </si>
  <si>
    <t>cst_wskakunin_kanri5_JIMU_TOUROKU_KIKAN</t>
  </si>
  <si>
    <t>**wskakunin_kanri5_JIMU_NO</t>
  </si>
  <si>
    <t>cst_wskakunin_kanri5_JIMU_NO</t>
  </si>
  <si>
    <t>**wskakunin_kanri5_JIMU_NAME</t>
  </si>
  <si>
    <t>cst_wskakunin_kanri5_JIMU_NAME</t>
  </si>
  <si>
    <t>**wskakunin_kanri5_ZIP</t>
  </si>
  <si>
    <t>cst_wskakunin_kanri5_ZIP</t>
  </si>
  <si>
    <t>**wskakunin_kanri5__address</t>
  </si>
  <si>
    <t>cst_wskakunin_kanri5__address</t>
  </si>
  <si>
    <t>**wskakunin_kanri5_TEL</t>
  </si>
  <si>
    <t>cst_wskakunin_kanri5_TEL</t>
  </si>
  <si>
    <t>**wskakunin_kanri5_DOC</t>
  </si>
  <si>
    <t>cst_wskakunin_kanri5_DOC</t>
  </si>
  <si>
    <t>監理者6</t>
  </si>
  <si>
    <t>**wskakunin_kanri6__sikaku</t>
  </si>
  <si>
    <t>cst_wskakunin_kanri6__sikaku</t>
  </si>
  <si>
    <t>**wskakunin_kanri6_SIKAKU__label</t>
  </si>
  <si>
    <t>cst_wskakunin_kanri6_SIKAKU</t>
  </si>
  <si>
    <t>**wskakunin_kanri6_TOUROKU_KIKAN__label</t>
  </si>
  <si>
    <t>cst_wskakunin_kanri6_TOUROKU_KIKAN</t>
  </si>
  <si>
    <t>**wskakunin_kanri6_KENTIKUSI_NO</t>
  </si>
  <si>
    <t>cst_wskakunin_kanri6_KENTIKUSI_NO</t>
  </si>
  <si>
    <t>**wskakunin_kanri6_NAME</t>
  </si>
  <si>
    <t>cst_wskakunin_kanri6_NAME</t>
  </si>
  <si>
    <t>**wskakunin_kanri6_JIMU__sikaku</t>
  </si>
  <si>
    <t>cst_wskakunin_kanri6_JIMU__sikaku</t>
  </si>
  <si>
    <t>**wskakunin_kanri6_JIMU_SIKAKU__label</t>
  </si>
  <si>
    <t>cst_wskakunin_kanri6_JIMU_SIKAKU</t>
  </si>
  <si>
    <t>**wskakunin_kanri6_JIMU_TOUROKU_KIKAN__label</t>
  </si>
  <si>
    <t>cst_wskakunin_kanri6_JIMU_TOUROKU_KIKAN</t>
  </si>
  <si>
    <t>**wskakunin_kanri6_JIMU_NO</t>
  </si>
  <si>
    <t>cst_wskakunin_kanri6_JIMU_NO</t>
  </si>
  <si>
    <t>**wskakunin_kanri6_JIMU_NAME</t>
  </si>
  <si>
    <t>cst_wskakunin_kanri6_JIMU_NAME</t>
  </si>
  <si>
    <t>**wskakunin_kanri6_ZIP</t>
  </si>
  <si>
    <t>cst_wskakunin_kanri6_ZIP</t>
  </si>
  <si>
    <t>**wskakunin_kanri6__address</t>
  </si>
  <si>
    <t>cst_wskakunin_kanri6__address</t>
  </si>
  <si>
    <t>**wskakunin_kanri6_TEL</t>
  </si>
  <si>
    <t>cst_wskakunin_kanri6_TEL</t>
  </si>
  <si>
    <t>**wskakunin_kanri6_DOC</t>
  </si>
  <si>
    <t>cst_wskakunin_kanri6_DOC</t>
  </si>
  <si>
    <t>監理者7</t>
  </si>
  <si>
    <t>**wskakunin_kanri7__sikaku</t>
  </si>
  <si>
    <t>cst_wskakunin_kanri7__sikaku</t>
  </si>
  <si>
    <t>**wskakunin_kanri7_SIKAKU__label</t>
  </si>
  <si>
    <t>cst_wskakunin_kanri7_SIKAKU</t>
  </si>
  <si>
    <t>**wskakunin_kanri7_TOUROKU_KIKAN__label</t>
  </si>
  <si>
    <t>cst_wskakunin_kanri7_TOUROKU_KIKAN</t>
  </si>
  <si>
    <t>**wskakunin_kanri7_KENTIKUSI_NO</t>
  </si>
  <si>
    <t>cst_wskakunin_kanri7_KENTIKUSI_NO</t>
  </si>
  <si>
    <t>**wskakunin_kanri7_NAME</t>
  </si>
  <si>
    <t>cst_wskakunin_kanri7_NAME</t>
  </si>
  <si>
    <t>**wskakunin_kanri7_JIMU__sikaku</t>
  </si>
  <si>
    <t>cst_wskakunin_kanri7_JIMU__sikaku</t>
  </si>
  <si>
    <t>**wskakunin_kanri7_JIMU_SIKAKU__label</t>
  </si>
  <si>
    <t>cst_wskakunin_kanri7_JIMU_SIKAKU</t>
  </si>
  <si>
    <t>**wskakunin_kanri7_JIMU_TOUROKU_KIKAN__label</t>
  </si>
  <si>
    <t>cst_wskakunin_kanri7_JIMU_TOUROKU_KIKAN</t>
  </si>
  <si>
    <t>**wskakunin_kanri7_JIMU_NO</t>
  </si>
  <si>
    <t>cst_wskakunin_kanri7_JIMU_NO</t>
  </si>
  <si>
    <t>**wskakunin_kanri7_JIMU_NAME</t>
  </si>
  <si>
    <t>cst_wskakunin_kanri7_JIMU_NAME</t>
  </si>
  <si>
    <t>**wskakunin_kanri7_ZIP</t>
  </si>
  <si>
    <t>cst_wskakunin_kanri7_ZIP</t>
  </si>
  <si>
    <t>**wskakunin_kanri7__address</t>
  </si>
  <si>
    <t>cst_wskakunin_kanri7__address</t>
  </si>
  <si>
    <t>**wskakunin_kanri7_TEL</t>
  </si>
  <si>
    <t>cst_wskakunin_kanri7_TEL</t>
  </si>
  <si>
    <t>**wskakunin_kanri7_DOC</t>
  </si>
  <si>
    <t>cst_wskakunin_kanri7_DOC</t>
  </si>
  <si>
    <t>監理者8</t>
  </si>
  <si>
    <t>**wskakunin_kanri8__sikaku</t>
  </si>
  <si>
    <t>cst_wskakunin_kanri8__sikaku</t>
  </si>
  <si>
    <t>**wskakunin_kanri8_SIKAKU__label</t>
  </si>
  <si>
    <t>cst_wskakunin_kanri8_SIKAKU</t>
  </si>
  <si>
    <t>**wskakunin_kanri8_TOUROKU_KIKAN__label</t>
  </si>
  <si>
    <t>cst_wskakunin_kanri8_TOUROKU_KIKAN</t>
  </si>
  <si>
    <t>**wskakunin_kanri8_KENTIKUSI_NO</t>
  </si>
  <si>
    <t>cst_wskakunin_kanri8_KENTIKUSI_NO</t>
  </si>
  <si>
    <t>**wskakunin_kanri8_NAME</t>
  </si>
  <si>
    <t>cst_wskakunin_kanri8_NAME</t>
  </si>
  <si>
    <t>**wskakunin_kanri8_JIMU__sikaku</t>
  </si>
  <si>
    <t>cst_wskakunin_kanri8_JIMU__sikaku</t>
  </si>
  <si>
    <t>**wskakunin_kanri8_JIMU_SIKAKU__label</t>
  </si>
  <si>
    <t>cst_wskakunin_kanri8_JIMU_SIKAKU</t>
  </si>
  <si>
    <t>**wskakunin_kanri8_JIMU_TOUROKU_KIKAN__label</t>
  </si>
  <si>
    <t>cst_wskakunin_kanri8_JIMU_TOUROKU_KIKAN</t>
  </si>
  <si>
    <t>**wskakunin_kanri8_JIMU_NO</t>
  </si>
  <si>
    <t>cst_wskakunin_kanri8_JIMU_NO</t>
  </si>
  <si>
    <t>**wskakunin_kanri8_JIMU_NAME</t>
  </si>
  <si>
    <t>cst_wskakunin_kanri8_JIMU_NAME</t>
  </si>
  <si>
    <t>**wskakunin_kanri8_ZIP</t>
  </si>
  <si>
    <t>cst_wskakunin_kanri8_ZIP</t>
  </si>
  <si>
    <t>**wskakunin_kanri8__address</t>
  </si>
  <si>
    <t>cst_wskakunin_kanri8__address</t>
  </si>
  <si>
    <t>**wskakunin_kanri8_TEL</t>
  </si>
  <si>
    <t>cst_wskakunin_kanri8_TEL</t>
  </si>
  <si>
    <t>**wskakunin_kanri8_DOC</t>
  </si>
  <si>
    <t>cst_wskakunin_kanri8_DOC</t>
  </si>
  <si>
    <t>監理者9</t>
  </si>
  <si>
    <t>**wskakunin_kanri9__sikaku</t>
  </si>
  <si>
    <t>cst_wskakunin_kanri9__sikaku</t>
  </si>
  <si>
    <t>**wskakunin_kanri9_SIKAKU__label</t>
  </si>
  <si>
    <t>cst_wskakunin_kanri9_SIKAKU</t>
  </si>
  <si>
    <t>**wskakunin_kanri9_TOUROKU_KIKAN__label</t>
  </si>
  <si>
    <t>cst_wskakunin_kanri9_TOUROKU_KIKAN</t>
  </si>
  <si>
    <t>**wskakunin_kanri9_KENTIKUSI_NO</t>
  </si>
  <si>
    <t>cst_wskakunin_kanri9_KENTIKUSI_NO</t>
  </si>
  <si>
    <t>**wskakunin_kanri9_NAME</t>
  </si>
  <si>
    <t>cst_wskakunin_kanri9_NAME</t>
  </si>
  <si>
    <t>**wskakunin_kanri9_JIMU__sikaku</t>
  </si>
  <si>
    <t>cst_wskakunin_kanri9_JIMU__sikaku</t>
  </si>
  <si>
    <t>**wskakunin_kanri9_JIMU_SIKAKU__label</t>
  </si>
  <si>
    <t>cst_wskakunin_kanri9_JIMU_SIKAKU</t>
  </si>
  <si>
    <t>**wskakunin_kanri9_JIMU_TOUROKU_KIKAN__label</t>
  </si>
  <si>
    <t>cst_wskakunin_kanri9_JIMU_TOUROKU_KIKAN</t>
  </si>
  <si>
    <t>**wskakunin_kanri9_JIMU_NO</t>
  </si>
  <si>
    <t>cst_wskakunin_kanri9_JIMU_NO</t>
  </si>
  <si>
    <t>**wskakunin_kanri9_JIMU_NAME</t>
  </si>
  <si>
    <t>cst_wskakunin_kanri9_JIMU_NAME</t>
  </si>
  <si>
    <t>**wskakunin_kanri9_ZIP</t>
  </si>
  <si>
    <t>cst_wskakunin_kanri9_ZIP</t>
  </si>
  <si>
    <t>**wskakunin_kanri9__address</t>
  </si>
  <si>
    <t>cst_wskakunin_kanri9__address</t>
  </si>
  <si>
    <t>**wskakunin_kanri9_TEL</t>
  </si>
  <si>
    <t>cst_wskakunin_kanri9_TEL</t>
  </si>
  <si>
    <t>**wskakunin_kanri9_DOC</t>
  </si>
  <si>
    <t>cst_wskakunin_kanri9_DOC</t>
  </si>
  <si>
    <t>監理者10</t>
  </si>
  <si>
    <t>**wskakunin_kanri10__sikaku</t>
  </si>
  <si>
    <t>cst_wskakunin_kanri10__sikaku</t>
  </si>
  <si>
    <t>**wskakunin_kanri10_SIKAKU__label</t>
  </si>
  <si>
    <t>cst_wskakunin_kanri10_SIKAKU</t>
  </si>
  <si>
    <t>**wskakunin_kanri10_TOUROKU_KIKAN__label</t>
  </si>
  <si>
    <t>cst_wskakunin_kanri10_TOUROKU_KIKAN</t>
  </si>
  <si>
    <t>**wskakunin_kanri10_KENTIKUSI_NO</t>
  </si>
  <si>
    <t>cst_wskakunin_kanri10_KENTIKUSI_NO</t>
  </si>
  <si>
    <t>**wskakunin_kanri10_NAME</t>
  </si>
  <si>
    <t>cst_wskakunin_kanri10_NAME</t>
  </si>
  <si>
    <t>**wskakunin_kanri10_JIMU__sikaku</t>
  </si>
  <si>
    <t>cst_wskakunin_kanri10_JIMU__sikaku</t>
  </si>
  <si>
    <t>**wskakunin_kanri10_JIMU_SIKAKU__label</t>
  </si>
  <si>
    <t>cst_wskakunin_kanri10_JIMU_SIKAKU</t>
  </si>
  <si>
    <t>**wskakunin_kanri10_JIMU_TOUROKU_KIKAN__label</t>
  </si>
  <si>
    <t>cst_wskakunin_kanri10_JIMU_TOUROKU_KIKAN</t>
  </si>
  <si>
    <t>**wskakunin_kanri10_JIMU_NO</t>
  </si>
  <si>
    <t>cst_wskakunin_kanri10_JIMU_NO</t>
  </si>
  <si>
    <t>**wskakunin_kanri10_JIMU_NAME</t>
  </si>
  <si>
    <t>cst_wskakunin_kanri10_JIMU_NAME</t>
  </si>
  <si>
    <t>**wskakunin_kanri10_ZIP</t>
  </si>
  <si>
    <t>cst_wskakunin_kanri10_ZIP</t>
  </si>
  <si>
    <t>**wskakunin_kanri10__address</t>
  </si>
  <si>
    <t>cst_wskakunin_kanri10__address</t>
  </si>
  <si>
    <t>**wskakunin_kanri10_TEL</t>
  </si>
  <si>
    <t>cst_wskakunin_kanri10_TEL</t>
  </si>
  <si>
    <t>**wskakunin_kanri10_DOC</t>
  </si>
  <si>
    <t>cst_wskakunin_kanri10_DOC</t>
  </si>
  <si>
    <t>監理者11</t>
  </si>
  <si>
    <t>**wskakunin_kanri11__sikaku</t>
  </si>
  <si>
    <t>cst_wskakunin_kanri11__sikaku</t>
  </si>
  <si>
    <t>**wskakunin_kanri11_SIKAKU__label</t>
  </si>
  <si>
    <t>cst_wskakunin_kanri11_SIKAKU</t>
  </si>
  <si>
    <t>**wskakunin_kanri11_TOUROKU_KIKAN__label</t>
  </si>
  <si>
    <t>cst_wskakunin_kanri11_TOUROKU_KIKAN</t>
  </si>
  <si>
    <t>**wskakunin_kanri11_KENTIKUSI_NO</t>
  </si>
  <si>
    <t>cst_wskakunin_kanri11_KENTIKUSI_NO</t>
  </si>
  <si>
    <t>**wskakunin_kanri11_NAME</t>
  </si>
  <si>
    <t>cst_wskakunin_kanri11_NAME</t>
  </si>
  <si>
    <t>**wskakunin_kanri11_JIMU__sikaku</t>
  </si>
  <si>
    <t>cst_wskakunin_kanri11_JIMU__sikaku</t>
  </si>
  <si>
    <t>**wskakunin_kanri11_JIMU_SIKAKU__label</t>
  </si>
  <si>
    <t>cst_wskakunin_kanri11_JIMU_SIKAKU</t>
  </si>
  <si>
    <t>**wskakunin_kanri11_JIMU_TOUROKU_KIKAN__label</t>
  </si>
  <si>
    <t>cst_wskakunin_kanri11_JIMU_TOUROKU_KIKAN</t>
  </si>
  <si>
    <t>**wskakunin_kanri11_JIMU_NO</t>
  </si>
  <si>
    <t>cst_wskakunin_kanri11_JIMU_NO</t>
  </si>
  <si>
    <t>**wskakunin_kanri11_JIMU_NAME</t>
  </si>
  <si>
    <t>cst_wskakunin_kanri11_JIMU_NAME</t>
  </si>
  <si>
    <t>**wskakunin_kanri11_ZIP</t>
  </si>
  <si>
    <t>cst_wskakunin_kanri11_ZIP</t>
  </si>
  <si>
    <t>**wskakunin_kanri11__address</t>
  </si>
  <si>
    <t>cst_wskakunin_kanri11__address</t>
  </si>
  <si>
    <t>**wskakunin_kanri11_TEL</t>
  </si>
  <si>
    <t>cst_wskakunin_kanri11_TEL</t>
  </si>
  <si>
    <t>**wskakunin_kanri11_DOC</t>
  </si>
  <si>
    <t>cst_wskakunin_kanri11_DOC</t>
  </si>
  <si>
    <t>監理者12</t>
  </si>
  <si>
    <t>**wskakunin_kanri12__sikaku</t>
  </si>
  <si>
    <t>cst_wskakunin_kanri12__sikaku</t>
  </si>
  <si>
    <t>**wskakunin_kanri12_SIKAKU__label</t>
  </si>
  <si>
    <t>cst_wskakunin_kanri12_SIKAKU</t>
  </si>
  <si>
    <t>**wskakunin_kanri12_TOUROKU_KIKAN__label</t>
  </si>
  <si>
    <t>cst_wskakunin_kanri12_TOUROKU_KIKAN</t>
  </si>
  <si>
    <t>**wskakunin_kanri12_KENTIKUSI_NO</t>
  </si>
  <si>
    <t>cst_wskakunin_kanri12_KENTIKUSI_NO</t>
  </si>
  <si>
    <t>**wskakunin_kanri12_NAME</t>
  </si>
  <si>
    <t>cst_wskakunin_kanri12_NAME</t>
  </si>
  <si>
    <t>**wskakunin_kanri12_JIMU__sikaku</t>
  </si>
  <si>
    <t>cst_wskakunin_kanri12_JIMU__sikaku</t>
  </si>
  <si>
    <t>**wskakunin_kanri12_JIMU_SIKAKU__label</t>
  </si>
  <si>
    <t>cst_wskakunin_kanri12_JIMU_SIKAKU</t>
  </si>
  <si>
    <t>**wskakunin_kanri12_JIMU_TOUROKU_KIKAN__label</t>
  </si>
  <si>
    <t>cst_wskakunin_kanri12_JIMU_TOUROKU_KIKAN</t>
  </si>
  <si>
    <t>**wskakunin_kanri12_JIMU_NO</t>
  </si>
  <si>
    <t>cst_wskakunin_kanri12_JIMU_NO</t>
  </si>
  <si>
    <t>**wskakunin_kanri12_JIMU_NAME</t>
  </si>
  <si>
    <t>cst_wskakunin_kanri12_JIMU_NAME</t>
  </si>
  <si>
    <t>**wskakunin_kanri12_ZIP</t>
  </si>
  <si>
    <t>cst_wskakunin_kanri12_ZIP</t>
  </si>
  <si>
    <t>**wskakunin_kanri12__address</t>
  </si>
  <si>
    <t>cst_wskakunin_kanri12__address</t>
  </si>
  <si>
    <t>**wskakunin_kanri12_TEL</t>
  </si>
  <si>
    <t>cst_wskakunin_kanri12_TEL</t>
  </si>
  <si>
    <t>**wskakunin_kanri12_DOC</t>
  </si>
  <si>
    <t>cst_wskakunin_kanri12_DOC</t>
  </si>
  <si>
    <t>施工者</t>
  </si>
  <si>
    <t>**wskakunin_sekou1_NAME</t>
  </si>
  <si>
    <t>cst_wskakunin_sekou1_NAME</t>
  </si>
  <si>
    <t>建設業の資格一括</t>
  </si>
  <si>
    <t>**wskakunin_sekou1_SEKOU__sikaku</t>
  </si>
  <si>
    <t>cst_wskakunin_sekou1_SEKOU__sikaku</t>
  </si>
  <si>
    <t>建設業の許可</t>
  </si>
  <si>
    <t>**wskakunin_sekou1_SEKOU_SIKAKU__label</t>
  </si>
  <si>
    <t>cst_wskakunin_sekou1_SEKOU_SIKAKU</t>
  </si>
  <si>
    <t>登録番号</t>
  </si>
  <si>
    <t>**wskakunin_sekou1_SEKOU_NO</t>
  </si>
  <si>
    <t>cst_wskakunin_sekou1_SEKOU_NO</t>
  </si>
  <si>
    <t>営業所名</t>
  </si>
  <si>
    <t>**wskakunin_sekou1_JIMU_NAME</t>
  </si>
  <si>
    <t>cst_wskakunin_sekou1_JIMU_NAME</t>
  </si>
  <si>
    <t>**wskakunin_sekou1_ZIP</t>
  </si>
  <si>
    <t>cst_wskakunin_sekou1_ZIP</t>
  </si>
  <si>
    <t>**wskakunin_sekou1__address</t>
  </si>
  <si>
    <t>cst_wskakunin_sekou1__address</t>
  </si>
  <si>
    <t>**wskakunin_sekou1_TEL</t>
  </si>
  <si>
    <t>cst_wskakunin_sekou1_TEL</t>
  </si>
  <si>
    <t>入力チェック</t>
  </si>
  <si>
    <t>cst_wskakunin_sekou1_kakunin</t>
  </si>
  <si>
    <t>：未入力1,入力済み2</t>
  </si>
  <si>
    <t>施工者2</t>
  </si>
  <si>
    <t>**wskakunin_sekou2_NAME</t>
  </si>
  <si>
    <t>cst_wskakunin_sekou2_NAME</t>
  </si>
  <si>
    <t>**wskakunin_sekou2_SEKOU__sikaku</t>
  </si>
  <si>
    <t>cst_wskakunin_sekou2_SEKOU__sikaku</t>
  </si>
  <si>
    <t>**wskakunin_sekou2_SEKOU_SIKAKU__label</t>
  </si>
  <si>
    <t>cst_wskakunin_sekou2_SEKOU_SIKAKU</t>
  </si>
  <si>
    <t>**wskakunin_sekou2_SEKOU_NO</t>
  </si>
  <si>
    <t>cst_wskakunin_sekou2_SEKOU_NO</t>
  </si>
  <si>
    <t>**wskakunin_sekou2_JIMU_NAME</t>
  </si>
  <si>
    <t>cst_wskakunin_sekou2_JIMU_NAME</t>
  </si>
  <si>
    <t>**wskakunin_sekou2_ZIP</t>
  </si>
  <si>
    <t>cst_wskakunin_sekou2_ZIP</t>
  </si>
  <si>
    <t>**wskakunin_sekou2__address</t>
  </si>
  <si>
    <t>cst_wskakunin_sekou2__address</t>
  </si>
  <si>
    <t>**wskakunin_sekou2_TEL</t>
  </si>
  <si>
    <t>cst_wskakunin_sekou2_TEL</t>
  </si>
  <si>
    <t>施工者3</t>
  </si>
  <si>
    <t>**wskakunin_sekou3_NAME</t>
  </si>
  <si>
    <t>cst_wskakunin_sekou3_NAME</t>
  </si>
  <si>
    <t>**wskakunin_sekou3_SEKOU__sikaku</t>
  </si>
  <si>
    <t>cst_wskakunin_sekou3_SEKOU__sikaku</t>
  </si>
  <si>
    <t>**wskakunin_sekou3_SEKOU_SIKAKU__label</t>
  </si>
  <si>
    <t>cst_wskakunin_sekou3_SEKOU_SIKAKU</t>
  </si>
  <si>
    <t>**wskakunin_sekou3_SEKOU_NO</t>
  </si>
  <si>
    <t>cst_wskakunin_sekou3_SEKOU_NO</t>
  </si>
  <si>
    <t>**wskakunin_sekou3_JIMU_NAME</t>
  </si>
  <si>
    <t>cst_wskakunin_sekou3_JIMU_NAME</t>
  </si>
  <si>
    <t>**wskakunin_sekou3_ZIP</t>
  </si>
  <si>
    <t>cst_wskakunin_sekou3_ZIP</t>
  </si>
  <si>
    <t>**wskakunin_sekou3__address</t>
  </si>
  <si>
    <t>cst_wskakunin_sekou3__address</t>
  </si>
  <si>
    <t>**wskakunin_sekou3_TEL</t>
  </si>
  <si>
    <t>cst_wskakunin_sekou3_TEL</t>
  </si>
  <si>
    <t>施工者4</t>
  </si>
  <si>
    <t>**wskakunin_sekou4_NAME</t>
  </si>
  <si>
    <t>cst_wskakunin_sekou4_NAME</t>
  </si>
  <si>
    <t>**wskakunin_sekou4_SEKOU__sikaku</t>
  </si>
  <si>
    <t>cst_wskakunin_sekou4_SEKOU__sikaku</t>
  </si>
  <si>
    <t>**wskakunin_sekou4_SEKOU_SIKAKU__label</t>
  </si>
  <si>
    <t>cst_wskakunin_sekou4_SEKOU_SIKAKU</t>
  </si>
  <si>
    <t>**wskakunin_sekou4_SEKOU_NO</t>
  </si>
  <si>
    <t>cst_wskakunin_sekou4_SEKOU_NO</t>
  </si>
  <si>
    <t>**wskakunin_sekou4_JIMU_NAME</t>
  </si>
  <si>
    <t>cst_wskakunin_sekou4_JIMU_NAME</t>
  </si>
  <si>
    <t>**wskakunin_sekou4_ZIP</t>
  </si>
  <si>
    <t>cst_wskakunin_sekou4_ZIP</t>
  </si>
  <si>
    <t>**wskakunin_sekou4__address</t>
  </si>
  <si>
    <t>cst_wskakunin_sekou4__address</t>
  </si>
  <si>
    <t>**wskakunin_sekou4_TEL</t>
  </si>
  <si>
    <t>cst_wskakunin_sekou4_TEL</t>
  </si>
  <si>
    <t>施工者5</t>
  </si>
  <si>
    <t>**wskakunin_sekou5_NAME</t>
  </si>
  <si>
    <t>cst_wskakunin_sekou5_NAME</t>
  </si>
  <si>
    <t>**wskakunin_sekou5_SEKOU__sikaku</t>
  </si>
  <si>
    <t>cst_wskakunin_sekou5_SEKOU__sikaku</t>
  </si>
  <si>
    <t>**wskakunin_sekou5_SEKOU_SIKAKU__label</t>
  </si>
  <si>
    <t>cst_wskakunin_sekou5_SEKOU_SIKAKU</t>
  </si>
  <si>
    <t>**wskakunin_sekou5_SEKOU_NO</t>
  </si>
  <si>
    <t>cst_wskakunin_sekou5_SEKOU_NO</t>
  </si>
  <si>
    <t>**wskakunin_sekou5_JIMU_NAME</t>
  </si>
  <si>
    <t>cst_wskakunin_sekou5_JIMU_NAME</t>
  </si>
  <si>
    <t>**wskakunin_sekou5_ZIP</t>
  </si>
  <si>
    <t>cst_wskakunin_sekou5_ZIP</t>
  </si>
  <si>
    <t>**wskakunin_sekou5__address</t>
  </si>
  <si>
    <t>cst_wskakunin_sekou5__address</t>
  </si>
  <si>
    <t>**wskakunin_sekou5_TEL</t>
  </si>
  <si>
    <t>cst_wskakunin_sekou5_TEL</t>
  </si>
  <si>
    <t>施工者6</t>
  </si>
  <si>
    <t>**wskakunin_sekou6_NAME</t>
  </si>
  <si>
    <t>cst_wskakunin_sekou6_NAME</t>
  </si>
  <si>
    <t>**wskakunin_sekou6_SEKOU__sikaku</t>
  </si>
  <si>
    <t>cst_wskakunin_sekou6_SEKOU__sikaku</t>
  </si>
  <si>
    <t>**wskakunin_sekou6_SEKOU_SIKAKU__label</t>
  </si>
  <si>
    <t>cst_wskakunin_sekou6_SEKOU_SIKAKU</t>
  </si>
  <si>
    <t>**wskakunin_sekou6_SEKOU_NO</t>
  </si>
  <si>
    <t>cst_wskakunin_sekou6_SEKOU_NO</t>
  </si>
  <si>
    <t>**wskakunin_sekou6_JIMU_NAME</t>
  </si>
  <si>
    <t>cst_wskakunin_sekou6_JIMU_NAME</t>
  </si>
  <si>
    <t>**wskakunin_sekou6_ZIP</t>
  </si>
  <si>
    <t>cst_wskakunin_sekou6_ZIP</t>
  </si>
  <si>
    <t>**wskakunin_sekou6__address</t>
  </si>
  <si>
    <t>cst_wskakunin_sekou6__address</t>
  </si>
  <si>
    <t>**wskakunin_sekou6_TEL</t>
  </si>
  <si>
    <t>cst_wskakunin_sekou6_TEL</t>
  </si>
  <si>
    <t>※ 特定施工業者の検索</t>
  </si>
  <si>
    <t>一建設（前方一致で判定）</t>
  </si>
  <si>
    <t>cst_wskakunin_sekou1__hajime</t>
  </si>
  <si>
    <t>※showsheetflagではSEARCH関数は使用不可</t>
  </si>
  <si>
    <t>ケイアイスター</t>
  </si>
  <si>
    <t>cst_wskakunin_sekou1__kistar</t>
  </si>
  <si>
    <t>備考（建築物名称）</t>
  </si>
  <si>
    <t>**wskakunin_BUILD_NAME</t>
  </si>
  <si>
    <t xml:space="preserve"> テスト</t>
  </si>
  <si>
    <t>cst_wskakunin_BUILD_NAME</t>
  </si>
  <si>
    <t>**wskakunin_BUILD_NAME_KANA</t>
  </si>
  <si>
    <t>cst_wskakunin_BUILD_NAME_KANA</t>
  </si>
  <si>
    <t>第二面 備考</t>
  </si>
  <si>
    <t>**wskakunin_P2_BIKOU</t>
  </si>
  <si>
    <t>cst_wskakunin_P2_BIKOU</t>
  </si>
  <si>
    <t>7.構造計算適合性判定</t>
  </si>
  <si>
    <t>チェック</t>
  </si>
  <si>
    <t>**wskakunin_tekihan01_TEKIHAN_STATE</t>
  </si>
  <si>
    <t>－申請済チェック</t>
  </si>
  <si>
    <t>cst_wskakunin_tekihan01_TEKIHAN_STATE_shinsei</t>
  </si>
  <si>
    <t>－未申請チェック</t>
  </si>
  <si>
    <t>cst_wskakunin_tekihan01_TEKIHAN_STATE_mishinsei</t>
  </si>
  <si>
    <t>－申請不要チェック</t>
  </si>
  <si>
    <t>cst_wskakunin_tekihan01_TEKIHAN_STATE_shinseifuyou</t>
  </si>
  <si>
    <t>適判名称</t>
  </si>
  <si>
    <t>**wskakunin_tekihan01_TEKIHAN_KIKAN_NAME</t>
  </si>
  <si>
    <t>cst_wskakunin_tekihan01_TEKIHAN_KIKAN_NAME</t>
  </si>
  <si>
    <t>適判所在地　都道府県</t>
  </si>
  <si>
    <t>**wskakunin_tekihan01_TEKIHAN_KIKAN_KEN__ken</t>
  </si>
  <si>
    <t>cst_wskakunin_tekihan01_TEKIHAN_KIKAN_KEN__ken</t>
  </si>
  <si>
    <t>適判所在地　市区町村</t>
  </si>
  <si>
    <t>**wskakunin_tekihan01_TEKIHAN_KIKAN_ADDRESS</t>
  </si>
  <si>
    <t>cst_wskakunin_tekihan01_TEKIHAN_KIKAN_ADDRESS</t>
  </si>
  <si>
    <t>名称＋都道府県＋市区町村</t>
  </si>
  <si>
    <t>cst_wskakunin_tekihan01_TEKIHAN_KIKAN_info</t>
  </si>
  <si>
    <t>**wskakunin_tekihan02_TEKIHAN_KIKAN_NAME</t>
  </si>
  <si>
    <t>cst_wskakunin_tekihan02_TEKIHAN_KIKAN_NAME</t>
  </si>
  <si>
    <t>**wskakunin_tekihan02_TEKIHAN_KIKAN_KEN__ken</t>
  </si>
  <si>
    <t>cst_wskakunin_tekihan02_TEKIHAN_KIKAN_KEN__ken</t>
  </si>
  <si>
    <t>**wskakunin_tekihan02_TEKIHAN_KIKAN_ADDRESS</t>
  </si>
  <si>
    <t>cst_wskakunin_tekihan02_TEKIHAN_KIKAN_ADDRESS</t>
  </si>
  <si>
    <t>cst_wskakunin_tekihan02_TEKIHAN_KIKAN_info</t>
  </si>
  <si>
    <t>8.建築物エネルギー消費性能確保計画の提出</t>
  </si>
  <si>
    <t>提出状況チェック</t>
  </si>
  <si>
    <t>**wskakunin_ecotekihan01_TEKIHAN_STATE</t>
  </si>
  <si>
    <t>－提出済チェック</t>
  </si>
  <si>
    <t>cst_wskakunin_ecotekihan01_TEKIHAN_STATE_teisyutu</t>
  </si>
  <si>
    <t>－未提出チェック</t>
  </si>
  <si>
    <t>cst_wskakunin_ecotekihan01_TEKIHAN_STATE_miteisyutu</t>
  </si>
  <si>
    <t>－提出不要チェック</t>
  </si>
  <si>
    <t>cst_wskakunin_ecotekihan01_TEKIHAN_STATE_teisyutufuyou</t>
  </si>
  <si>
    <t>**wskakunin_ecotekihan01_TEKIHAN_KIKAN_NAME</t>
  </si>
  <si>
    <t>cst_wskakunin_ecotekihan01_TEKIHAN_KIKAN_NAME</t>
  </si>
  <si>
    <t>**wskakunin_ecotekihan01_TEKIHAN_KIKAN_KEN__ken</t>
  </si>
  <si>
    <t>cst_wskakunin_ecotekihan01_TEKIHAN_KIKAN_KEN__ken</t>
  </si>
  <si>
    <t>**wskakunin_ecotekihan01_TEKIHAN_KIKAN_ADDRESS</t>
  </si>
  <si>
    <t>cst_wskakunin_ecotekihan01_TEKIHAN_KIKAN_ADDRESS</t>
  </si>
  <si>
    <t>提出済-機関情報</t>
  </si>
  <si>
    <t>cst_wskakunin_ecotekihan01_teisyutu_kikan_info</t>
  </si>
  <si>
    <t>未提出-機関情報</t>
  </si>
  <si>
    <t>cst_wskakunin_ecotekihan01_miteisyutu_kikan_info</t>
  </si>
  <si>
    <t>提出不要-理由</t>
  </si>
  <si>
    <t>**wskakunin_ecotekihan01_FUYOU_CAUSE</t>
  </si>
  <si>
    <t>cst_wskakunin_ecotekihan01_FUYOU_CAUSE</t>
  </si>
  <si>
    <t>第四面</t>
  </si>
  <si>
    <t>1.</t>
  </si>
  <si>
    <t>主要用途</t>
  </si>
  <si>
    <t>**wskakunin_p4_1_youto1_YOUTO</t>
  </si>
  <si>
    <t>cst_wskakunin_p4_1_youto1_YOUTO</t>
  </si>
  <si>
    <t>区分</t>
  </si>
  <si>
    <t>**wskakunin_p4_1_youto1_YOUTO_CODE</t>
  </si>
  <si>
    <t>cst_wskakunin_p4_1_youto1_YOUTO_CODE</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</si>
  <si>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</si>
  <si>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</si>
  <si>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</si>
  <si>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</si>
  <si>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</si>
  <si>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</si>
  <si>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</si>
  <si>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</si>
  <si>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</si>
  <si>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</si>
  <si>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</si>
  <si>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</si>
  <si>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その他</t>
  </si>
  <si>
    <t>cst_wskakunin_p4_1_youto1_YOUTO_9</t>
  </si>
  <si>
    <t>工事種別</t>
  </si>
  <si>
    <t>**wskakunin_p4_1__kouji</t>
  </si>
  <si>
    <t>cst_wskakunin_p4_1__kouji</t>
  </si>
  <si>
    <t>階数－地上</t>
  </si>
  <si>
    <t>**wskakunin_p4_1_KAISU_TIKAI_NOZOKU</t>
  </si>
  <si>
    <t>cst_wskakunin_p4_1_KAISU_TIKAI_NOZOKU</t>
  </si>
  <si>
    <t>階数－地下</t>
  </si>
  <si>
    <t>**wskakunin_p4_1_KAISU_TIKAI</t>
  </si>
  <si>
    <t>cst_wskakunin_p4_1_KAISU_TIKAI</t>
  </si>
  <si>
    <t>構造</t>
  </si>
  <si>
    <t>**wskakunin_p4_1_KOUZOU1</t>
  </si>
  <si>
    <t>cst_wskakunin_p4_1_KOUZOU1</t>
  </si>
  <si>
    <t>構造の一部</t>
  </si>
  <si>
    <t>**wskakunin_p4_1_KOUZOU2</t>
  </si>
  <si>
    <t>cst_wskakunin_p4_1_KOUZOU2</t>
  </si>
  <si>
    <t>高さ－最高の高さ</t>
  </si>
  <si>
    <t>**wskakunin_p4_1_TAKASA_MAX</t>
  </si>
  <si>
    <t>cst_wskakunin_p4_1_TAKASA_MAX</t>
  </si>
  <si>
    <t>高さ－最高の軒の高さ</t>
  </si>
  <si>
    <t>**wskakunin_p4_1_TAKASA_KEN_MAX</t>
  </si>
  <si>
    <t>cst_wskakunin_p4_1_TAKASA_KEN_MAX</t>
  </si>
  <si>
    <t>床面積（申請部分）</t>
  </si>
  <si>
    <t>**wskakunin_p4_1_YUKA_MENSEKI_SHINSEI</t>
  </si>
  <si>
    <t>cst_wskakunin_p4_1_YUKA_MENSEKI_SHINSEI</t>
  </si>
  <si>
    <t>2.</t>
  </si>
  <si>
    <t>**wskakunin_p4_2_KAISU_TIKAI_NOZOKU</t>
  </si>
  <si>
    <t>cst_wskakunin_p4_2_KAISU_TIKAI_NOZOKU</t>
  </si>
  <si>
    <t>**wskakunin_p4_2_KAISU_TIKAI</t>
  </si>
  <si>
    <t>cst_wskakunin_p4_2_KAISU_TIKAI</t>
  </si>
  <si>
    <t>**wskakunin_p4_2_YUKA_MENSEKI_SHINSEI</t>
  </si>
  <si>
    <t>cst_wskakunin_p4_2_YUKA_MENSEKI_SHINSEI</t>
  </si>
  <si>
    <t>3.</t>
  </si>
  <si>
    <t>**wskakunin_p4_3_KAISU_TIKAI_NOZOKU</t>
  </si>
  <si>
    <t>cst_wskakunin_p4_3_KAISU_TIKAI_NOZOKU</t>
  </si>
  <si>
    <t>**wskakunin_p4_3_KAISU_TIKAI</t>
  </si>
  <si>
    <t>cst_wskakunin_p4_3_KAISU_TIKAI</t>
  </si>
  <si>
    <t>**wskakunin_p4_3_YUKA_MENSEKI_SHINSEI</t>
  </si>
  <si>
    <t>cst_wskakunin_p4_3_YUKA_MENSEKI_SHINSEI</t>
  </si>
  <si>
    <t>第三面</t>
  </si>
  <si>
    <t>1.地名地番</t>
  </si>
  <si>
    <t>地名地番</t>
  </si>
  <si>
    <t>**wskakunin_BUILD__address</t>
  </si>
  <si>
    <t>cst_wskakunin_BUILD__address</t>
  </si>
  <si>
    <t>-都道府県</t>
  </si>
  <si>
    <t>**wskakunin_BUILD_KEN__ken</t>
  </si>
  <si>
    <t>cst_wskakunin_BUILD_KEN__ken</t>
  </si>
  <si>
    <t>-住所</t>
  </si>
  <si>
    <t>**wskakunin_BUILD_ADDRESS</t>
  </si>
  <si>
    <t>cst_wskakunin_BUILD_ADDRESS</t>
  </si>
  <si>
    <t>2.住居表示</t>
  </si>
  <si>
    <t>**wskakunin_BUILD_JYUKYO__address</t>
  </si>
  <si>
    <t>cst_wskakunin_BUILD_JYUKYO__address</t>
  </si>
  <si>
    <t>**wskakunin_BUILD_JYUKYO_KEN__ken</t>
  </si>
  <si>
    <t>cst_wskakunin_BUILD_JYUKYO_KEN__ken</t>
  </si>
  <si>
    <t>**wskakunin_BUILD_JYUKYO_ADDRESS</t>
  </si>
  <si>
    <t>cst_wskakunin_BUILD_JYUKYO_ADDRESS</t>
  </si>
  <si>
    <t>3.都市計画区域</t>
  </si>
  <si>
    <t>都市計画区域内</t>
  </si>
  <si>
    <t>**wskakunin_KUIKI_TOSI</t>
  </si>
  <si>
    <t>cst_wskakunin_KUIKI_TOSI</t>
  </si>
  <si>
    <t>内外の別</t>
  </si>
  <si>
    <t>**wskakunin__kuiki</t>
  </si>
  <si>
    <t>cst_wskakunin__kuiki</t>
  </si>
  <si>
    <t>cst_wskakunin__kuiki_box</t>
  </si>
  <si>
    <t>市街化区域</t>
  </si>
  <si>
    <t>**wskakunin_KUIKI_SIGAIKA</t>
  </si>
  <si>
    <t>cst_wskakunin_KUIKI_SIGAIKA</t>
  </si>
  <si>
    <t>区域内の分類</t>
  </si>
  <si>
    <t>**wskakunin__tosi_kuiki</t>
  </si>
  <si>
    <t>cst_wskakunin__tosi_kuiki</t>
  </si>
  <si>
    <t>市街化調整区域</t>
  </si>
  <si>
    <t>**wskakunin_KUIKI_TYOSEI</t>
  </si>
  <si>
    <t>cst_wskakunin_KUIKI_TYOSEI</t>
  </si>
  <si>
    <t>区域区分非設定</t>
  </si>
  <si>
    <t>**wskakunin_KUIKI_HISETTEI</t>
  </si>
  <si>
    <t>cst_wskakunin_KUIKI_HISETTEI</t>
  </si>
  <si>
    <t>準都市計画区域内</t>
  </si>
  <si>
    <t>**wskakunin_KUIKI_JYUN_TOSHI</t>
  </si>
  <si>
    <t>cst_wskakunin_KUIKI_JYUN_TOSHI</t>
  </si>
  <si>
    <t>都市計画区域及び準都市計画区域内準都市計画区域外</t>
  </si>
  <si>
    <t>**wskakunin_KUIKI_KUIKIGAI</t>
  </si>
  <si>
    <t>cst_wskakunin_KUIKI_KUIKIGAI</t>
  </si>
  <si>
    <t>4.防火地域</t>
  </si>
  <si>
    <t>**wskakunin__bouka</t>
  </si>
  <si>
    <t>cst_wskakunin__bouka</t>
  </si>
  <si>
    <t>防火地域</t>
  </si>
  <si>
    <t>**wskakunin_BOUKA_BOUKA</t>
  </si>
  <si>
    <t>cst_wskakunin_BOUKA_BOUKA</t>
  </si>
  <si>
    <t>準防火地域</t>
  </si>
  <si>
    <t>**wskakunin_BOUKA_JYUN_BOUKA</t>
  </si>
  <si>
    <t>cst_wskakunin_BOUKA_JYUN_BOUKA</t>
  </si>
  <si>
    <t>指定なし</t>
  </si>
  <si>
    <t>**wskakunin_BOUKA_NASI</t>
  </si>
  <si>
    <t>cst_wskakunin_BOUKA_NASI</t>
  </si>
  <si>
    <t>法第22条区域</t>
  </si>
  <si>
    <t>**wskakunin_BOUKA_22JYO</t>
  </si>
  <si>
    <t>cst_wskakunin_BOUKA_22JYO</t>
  </si>
  <si>
    <t>5.その他の区域</t>
  </si>
  <si>
    <t>**wskakunin_SONOTA_KUIKI</t>
  </si>
  <si>
    <t>cst_wskakunin_wskakunin_SONOTA_KUIKI</t>
  </si>
  <si>
    <t>6.道路</t>
  </si>
  <si>
    <t>幅員</t>
  </si>
  <si>
    <t>**wskakunin_DOURO_FUKUIN</t>
  </si>
  <si>
    <t>cst_wskakunin_DOURO_FUKUIN</t>
  </si>
  <si>
    <t>敷地と接している部分の長さ</t>
  </si>
  <si>
    <t>**wskakunin_DOURO_NAGASA</t>
  </si>
  <si>
    <t>cst_wskakunin_DOURO_NAGASA</t>
  </si>
  <si>
    <t>7.敷地面積</t>
  </si>
  <si>
    <t>敷地面積</t>
  </si>
  <si>
    <t>（1）A</t>
  </si>
  <si>
    <t>**wskakunin_SHIKITI_MENSEKI_1A</t>
  </si>
  <si>
    <t>cst_wskakunin_SHIKITI_MENSEKI_1A</t>
  </si>
  <si>
    <t>（1）B</t>
  </si>
  <si>
    <t>**wskakunin_SHIKITI_MENSEKI_1B</t>
  </si>
  <si>
    <t>cst_wskakunin_SHIKITI_MENSEKI_1B</t>
  </si>
  <si>
    <t>（1）C</t>
  </si>
  <si>
    <t>**wskakunin_SHIKITI_MENSEKI_1C</t>
  </si>
  <si>
    <t>cst_wskakunin_SHIKITI_MENSEKI_1C</t>
  </si>
  <si>
    <t>（1）D</t>
  </si>
  <si>
    <t>**wskakunin_SHIKITI_MENSEKI_1D</t>
  </si>
  <si>
    <t>cst_wskakunin_SHIKITI_MENSEKI_1D</t>
  </si>
  <si>
    <t>（2）A</t>
  </si>
  <si>
    <t>**wskakunin_SHIKITI_MENSEKI_2A</t>
  </si>
  <si>
    <t>cst_wskakunin_SHIKITI_MENSEKI_2A</t>
  </si>
  <si>
    <t>（2）B</t>
  </si>
  <si>
    <t>**wskakunin_SHIKITI_MENSEKI_2B</t>
  </si>
  <si>
    <t>cst_wskakunin_SHIKITI_MENSEKI_2B</t>
  </si>
  <si>
    <t>（2）C</t>
  </si>
  <si>
    <t>**wskakunin_SHIKITI_MENSEKI_2C</t>
  </si>
  <si>
    <t>cst_wskakunin_SHIKITI_MENSEKI_2C</t>
  </si>
  <si>
    <t>（2）D</t>
  </si>
  <si>
    <t>**wskakunin_SHIKITI_MENSEKI_2D</t>
  </si>
  <si>
    <t>cst_wskakunin_SHIKITI_MENSEKI_2D</t>
  </si>
  <si>
    <t>用途地域</t>
  </si>
  <si>
    <t>A</t>
  </si>
  <si>
    <t>**wskakunin_YOUTO_TIIKI_A</t>
  </si>
  <si>
    <t>cst_wskakunin_YOUTO_TIIKI_A</t>
  </si>
  <si>
    <t>B</t>
  </si>
  <si>
    <t>**wskakunin_YOUTO_TIIKI_B</t>
  </si>
  <si>
    <t>cst_wskakunin_YOUTO_TIIKI_B</t>
  </si>
  <si>
    <t>C</t>
  </si>
  <si>
    <t>**wskakunin_YOUTO_TIIKI_C</t>
  </si>
  <si>
    <t>cst_wskakunin_YOUTO_TIIKI_C</t>
  </si>
  <si>
    <t>D</t>
  </si>
  <si>
    <t>**wskakunin_YOUTO_TIIKI_D</t>
  </si>
  <si>
    <t>cst_wskakunin_YOUTO_TIIKI_D</t>
  </si>
  <si>
    <t>□、■表示</t>
  </si>
  <si>
    <t>容積率</t>
  </si>
  <si>
    <t>**wskakunin_YOUSEKI_RITU_A</t>
  </si>
  <si>
    <t>cst_wskakunin_YOUSEKI_RITU_A</t>
  </si>
  <si>
    <t>**wskakunin_YOUSEKI_RITU_B</t>
  </si>
  <si>
    <t>cst_wskakunin_YOUSEKI_RITU_B</t>
  </si>
  <si>
    <t>**wskakunin_YOUSEKI_RITU_C</t>
  </si>
  <si>
    <t>cst_wskakunin_YOUSEKI_RITU_C</t>
  </si>
  <si>
    <t>**wskakunin_YOUSEKI_RITU_D</t>
  </si>
  <si>
    <t>cst_wskakunin_YOUSEKI_RITU_D</t>
  </si>
  <si>
    <t>建蔽率</t>
  </si>
  <si>
    <t>**wskakunin_KENPEI_RITU_A</t>
  </si>
  <si>
    <t>cst_wskakunin_KENPEI_RITU_A</t>
  </si>
  <si>
    <t>**wskakunin_KENPEI_RITU_B</t>
  </si>
  <si>
    <t>cst_wskakunin_KENPEI_RITU_B</t>
  </si>
  <si>
    <t>**wskakunin_KENPEI_RITU_C</t>
  </si>
  <si>
    <t>cst_wskakunin_KENPEI_RITU_C</t>
  </si>
  <si>
    <t>**wskakunin_KENPEI_RITU_D</t>
  </si>
  <si>
    <t>cst_wskakunin_KENPEI_RITU_D</t>
  </si>
  <si>
    <t>敷地面積の合計</t>
  </si>
  <si>
    <t>（1）</t>
  </si>
  <si>
    <t>**wskakunin_SHIKITI_MENSEKI_1_TOTAL</t>
  </si>
  <si>
    <t>cst_wskakunin_SHIKITI_MENSEKI_1_TOTAL</t>
  </si>
  <si>
    <t>（2）</t>
  </si>
  <si>
    <t>**wskakunin_SHIKITI_MENSEKI_2_TOTAL</t>
  </si>
  <si>
    <t>cst_wskakunin_SHIKITI_MENSEKI_2_TOTAL</t>
  </si>
  <si>
    <t>延べ面積を敷地面積で除した数値</t>
  </si>
  <si>
    <t>**wskakunin_LIMIT_YOUSEKI_RITU</t>
  </si>
  <si>
    <t>cst_wskakunin_LIMIT_YOUSEKI_RITU</t>
  </si>
  <si>
    <t>建築面積を敷地面積で除した数値</t>
  </si>
  <si>
    <t>**wskakunin_LIMIT_KENPEI_RITU</t>
  </si>
  <si>
    <t>cst_wskakunin_LIMIT_KENPEI_RITU</t>
  </si>
  <si>
    <t>**wskakunin_SHIKITI_MENSEKI_BIKOU</t>
  </si>
  <si>
    <t>cst_wskakunin_SHIKITI_MENSEKI_BIKOU</t>
  </si>
  <si>
    <t>8.主要用途</t>
  </si>
  <si>
    <t>CODE</t>
  </si>
  <si>
    <t>**wskakunin_YOUTO_CODE</t>
  </si>
  <si>
    <t>cst_wskakunin_YOUTO_CODE</t>
  </si>
  <si>
    <t>**wskakunin_YOUTO</t>
  </si>
  <si>
    <t>cst_wskakunin_YOUTO</t>
  </si>
  <si>
    <t>共同・長屋の戸数</t>
  </si>
  <si>
    <t>**shinsei_UNIT_COUNT</t>
  </si>
  <si>
    <t>cst_shinsei_UNIT_COUNT</t>
  </si>
  <si>
    <t>9.工事種別</t>
  </si>
  <si>
    <t>工事種別一括出力</t>
  </si>
  <si>
    <t>**wskakunin__kouji</t>
  </si>
  <si>
    <t>cst_wskakunin__kouji</t>
  </si>
  <si>
    <t>新築</t>
  </si>
  <si>
    <t>**wskakunin_KOUJI_SINTIKU</t>
  </si>
  <si>
    <t>cst_wskakunin_KOUJI_SINTIKU_box</t>
  </si>
  <si>
    <t>増築</t>
  </si>
  <si>
    <t>**wskakunin_KOUJI_ZOUTIKU</t>
  </si>
  <si>
    <t>cst_wskakunin_KOUJI_ZOUTIKU_box</t>
  </si>
  <si>
    <t>改築</t>
  </si>
  <si>
    <t>**wskakunin_KOUJI_KAITIKU</t>
  </si>
  <si>
    <t>cst_wskakunin_KOUJI_KAITIKU_box</t>
  </si>
  <si>
    <t>移転</t>
  </si>
  <si>
    <t>**wskakunin_KOUJI_ITEN</t>
  </si>
  <si>
    <t>cst_wskakunin_KOUJI_ITEN_box</t>
  </si>
  <si>
    <t>用途変更</t>
  </si>
  <si>
    <t>**wskakunin_KOUJI_YOUTOHENKOU</t>
  </si>
  <si>
    <t>cst_wskakunin_KOUJI_YOUTOHENKOU_box</t>
  </si>
  <si>
    <t>確認・計変のみ</t>
  </si>
  <si>
    <t>大規模の修繕</t>
  </si>
  <si>
    <t>**wskakunin_KOUJI_DAI_SYUUZEN</t>
  </si>
  <si>
    <t>cst_wskakunin_KOUJI_DAI_SYUUZEN_box</t>
  </si>
  <si>
    <t>大規模の模様替</t>
  </si>
  <si>
    <t>**wskakunin_KOUJI_DAI_MOYOUGAE</t>
  </si>
  <si>
    <t>cst_wskakunin_KOUJI_DAI_MOYOUGAE_box</t>
  </si>
  <si>
    <t>建築設備の設置</t>
  </si>
  <si>
    <t>**wskakuninKOUJI_SETUBI</t>
  </si>
  <si>
    <t>cst_wskakunin_KOUJI_SETUBI_box</t>
  </si>
  <si>
    <t>中間・完了のみ</t>
  </si>
  <si>
    <t>工作物の概要</t>
  </si>
  <si>
    <t>種類コード</t>
  </si>
  <si>
    <t>**wskakunin_gaiyou1_WORK_SYURUI_CODE</t>
  </si>
  <si>
    <t>cst_wskakunin_gaiyou1_WORK_SYURUI_CODE</t>
  </si>
  <si>
    <t>種類</t>
  </si>
  <si>
    <t>**wskakunin_gaiyou1_WORK_SYURUI</t>
  </si>
  <si>
    <t>cst_wskakunin_gaiyou1_WORK_SYURUI</t>
  </si>
  <si>
    <t>高さ</t>
  </si>
  <si>
    <t>**wskakunin_gaiyou1_TAKASA</t>
  </si>
  <si>
    <t>cst_wskakunin_gaiyou1_TAKASA</t>
  </si>
  <si>
    <t>**wskakunin_gaiyou1_KOUZOU</t>
  </si>
  <si>
    <t>cst_wskakunin_gaiyou1_KOUZOU</t>
  </si>
  <si>
    <t>工事種別-新築</t>
  </si>
  <si>
    <t>**wskakunin_gaiyou1_KOUJI_SINTIKU</t>
  </si>
  <si>
    <t>cst_wskakunin_gaiyou1_KOUJI_SINTIKU</t>
  </si>
  <si>
    <t>工事種別-増築</t>
  </si>
  <si>
    <t>**wskakunin_gaiyou1_KOUJI_ZOUTIKU</t>
  </si>
  <si>
    <t>cst_wskakunin_gaiyou1_KOUJI_ZOUTIKU</t>
  </si>
  <si>
    <t>工事種別-改築</t>
  </si>
  <si>
    <t>**wskakunin_gaiyou1_KOUJI_KAITIKU</t>
  </si>
  <si>
    <t>cst_wskakunin_gaiyou1_KOUJI_KAITIKU</t>
  </si>
  <si>
    <t>工事種別-その他</t>
  </si>
  <si>
    <t>**wskakunin_gaiyou1_KOUJI_SONOTA</t>
  </si>
  <si>
    <t>cst_wskakunin_gaiyou1_KOUJI_SONOTA</t>
  </si>
  <si>
    <t>工事種別-その他()</t>
  </si>
  <si>
    <t>**wskakunin_gaiyou1_KOUJI_SONOTA_TEXT</t>
  </si>
  <si>
    <t>cst_wskakunin_gaiyou1_KOUJI_SONOTA_TEXT</t>
  </si>
  <si>
    <t>築造面積_申請部分</t>
  </si>
  <si>
    <t>**wskakunin_gaiyou1_TIKUZOU_MENSEKI_SHINSEI</t>
  </si>
  <si>
    <t>cst_wskakunin_gaiyou1_TIKUZOU_MENSEKI_SHINSEI</t>
  </si>
  <si>
    <t>築造面積_申請以外の部分</t>
  </si>
  <si>
    <t>**wskakunin_gaiyou1_TIKUZOU_MENSEKI_IGAI</t>
  </si>
  <si>
    <t>cst_wskakunin_gaiyou1_TIKUZOU_MENSEKI_IGAI</t>
  </si>
  <si>
    <t>築造面積_合計</t>
  </si>
  <si>
    <t>**wskakunin_gaiyou1_TIKUZOU_MENSEKI_TOTAL</t>
  </si>
  <si>
    <t>cst_wskakunin_gaiyou1_TIKUZOU_MENSEKI_TOTAL</t>
  </si>
  <si>
    <t>工作物の数_申請部分</t>
  </si>
  <si>
    <t>**wskakunin_gaiyou1_WORK_COUNT_SHINSEI</t>
  </si>
  <si>
    <t>cst_wskakunin_gaiyou1_WORK_COUNT_SHINSEI</t>
  </si>
  <si>
    <t>工作物の数_申請以外部分</t>
  </si>
  <si>
    <t>**wskakunin_gaiyou1_WORK_COUNT_IGAI</t>
  </si>
  <si>
    <t>cst_wskakunin_gaiyou1_WORK_COUNT_IGAI</t>
  </si>
  <si>
    <t>工作物の数_合計</t>
  </si>
  <si>
    <t>**wskakunin_gaiyou1_WORK_COUNT_TOTAL</t>
  </si>
  <si>
    <t>cst_wskakunin_gaiyou1_WORK_COUNT_TOTAL</t>
  </si>
  <si>
    <t>昇降機の概要</t>
  </si>
  <si>
    <t>番号</t>
  </si>
  <si>
    <t>**wskakunin_gaiyou1_NO</t>
  </si>
  <si>
    <t>cst_wskakunin_gaiyou1_NO</t>
  </si>
  <si>
    <t>種別</t>
  </si>
  <si>
    <t>**wskakunin_gaiyou1_EV_KIND</t>
  </si>
  <si>
    <t>cst_wskakunin_gaiyou1_EV_KIND</t>
  </si>
  <si>
    <t>用途</t>
  </si>
  <si>
    <t>**wskakunin_gaiyou1_YOUTO</t>
  </si>
  <si>
    <t>cst_wskakunin_gaiyou1_YOUTO</t>
  </si>
  <si>
    <t>積載荷重</t>
  </si>
  <si>
    <t>**wskakunin_gaiyou1_SEKISAI</t>
  </si>
  <si>
    <t>cst_wskakunin_gaiyou1_SEKISAI</t>
  </si>
  <si>
    <t>最大定員</t>
  </si>
  <si>
    <t>**wskakunin_gaiyou1_TEIIN</t>
  </si>
  <si>
    <t>cst_wskakunin_gaiyou1_TEIIN</t>
  </si>
  <si>
    <t>定格速度</t>
  </si>
  <si>
    <t>**wskakunin_gaiyou1_SPEED</t>
  </si>
  <si>
    <t>cst_wskakunin_gaiyou1_SPEED</t>
  </si>
  <si>
    <t>その他必要な事項</t>
  </si>
  <si>
    <t>**wskakunin_gaiyou1_SONOTA</t>
  </si>
  <si>
    <t>cst_wskakunin_gaiyou1_SONOTA</t>
  </si>
  <si>
    <t>認証番号</t>
  </si>
  <si>
    <t>**wskakunin_gaiyou1_NINSYOU_NO</t>
  </si>
  <si>
    <t>cst_wskakunin_gaiyou1_NINSYOU_NO</t>
  </si>
  <si>
    <t>その他必要事項+認証番号</t>
  </si>
  <si>
    <t>**wskakunin_gaiyou1_SONOTA_and_NINSYOU_NO</t>
  </si>
  <si>
    <t>cst_wskakunin_gaiyou1_SONOTA_and_NINSYOU_NO</t>
  </si>
  <si>
    <t>10.建築面積</t>
  </si>
  <si>
    <t>建築物全体</t>
  </si>
  <si>
    <t>申請部分</t>
  </si>
  <si>
    <t>**wskakunin_KENTIKU_MENSEKI_ZENTAI_SHINSEI</t>
  </si>
  <si>
    <t>cst_wskakunin_KENTIKU_MENSEKI_ZENTAI_SHINSEI</t>
  </si>
  <si>
    <t>申請以外の部分</t>
  </si>
  <si>
    <t>**wskakunin_KENTIKU_MENSEKI_ZENTAI_IGAI</t>
  </si>
  <si>
    <t>cst_wskakunin_KENTIKU_MENSEKI_ZENTAI_IGAI</t>
  </si>
  <si>
    <t>合計</t>
  </si>
  <si>
    <t>**wskakunin_KENTIKU_MENSEKI_ZENTAI_TOTAL</t>
  </si>
  <si>
    <t>cst_wskakunin_KENTIKU_MENSEKI_ZENTAI_TOTAL</t>
  </si>
  <si>
    <t>建築面積</t>
  </si>
  <si>
    <t>**wskakunin_KENTIKU_MENSEKI_SHINSEI</t>
  </si>
  <si>
    <t>cst_wskakunin_KENTIKU_MENSEKI_SHINSEI</t>
  </si>
  <si>
    <t>**wskakunin_KENTIKU_MENSEKI_IGAI</t>
  </si>
  <si>
    <t>cst_wskakunin_KENTIKU_MENSEKI_IGAI</t>
  </si>
  <si>
    <t>**wskakunin_KENTIKU_MENSEKI_TOTAL</t>
  </si>
  <si>
    <t>cst_wskakunin_KENTIKU_MENSEKI_TOTAL</t>
  </si>
  <si>
    <t>**wskakunin_KENPEI_RITU</t>
  </si>
  <si>
    <t>cst_wskakunin_KENPEI_RITU</t>
  </si>
  <si>
    <t>11.延べ面積</t>
  </si>
  <si>
    <t>**wskakunin_NOBE_MENSEKI_BUILD_SHINSEI</t>
  </si>
  <si>
    <t>cst_wskakunin_NOBE_MENSEKI_BUILD_SHINSEI</t>
  </si>
  <si>
    <t>**wskakunin_NOBE_MENSEKI_BUILD_IGAI</t>
  </si>
  <si>
    <t>cst_wskakunin_NOBE_MENSEKI_BUILD_IGAI</t>
  </si>
  <si>
    <t>**wskakunin_NOBE_MENSEKI_BUILD_TOTAL</t>
  </si>
  <si>
    <t>cst_wskakunin_NOBE_MENSEKI_BUILD_TOTAL</t>
  </si>
  <si>
    <t>地階の住宅</t>
  </si>
  <si>
    <t>**wskakunin_NOBE_MENSEKI_TIKAI_SHINSEI</t>
  </si>
  <si>
    <t>cst_wskakunin_NOBE_MENSEKI_TIKAI_SHINSEI</t>
  </si>
  <si>
    <t>**wskakunin_NOBE_MENSEKI_TIKAI_IGAI</t>
  </si>
  <si>
    <t>cst_wskakunin_NOBE_MENSEKI_TIKAI_IGAI</t>
  </si>
  <si>
    <t>**wskakunin_NOBE_MENSEKI_TIKAI_TOTAL</t>
  </si>
  <si>
    <t>cst_wskakunin_NOBE_MENSEKI_TIKAI_TOTAL</t>
  </si>
  <si>
    <t>エレベーター</t>
  </si>
  <si>
    <t>**wskakunin_NOBE_MENSEKI_SYOUKOURO_SHINSEI</t>
  </si>
  <si>
    <t>cst_wskakunin_NOBE_MENSEKI_SYOUKOURO_SHINSEI</t>
  </si>
  <si>
    <t>**wskakunin_NOBE_MENSEKI_SYOUKOURO_IGAI</t>
  </si>
  <si>
    <t>cst_wskakunin_NOBE_MENSEKI_SYOUKOURO_IGAI</t>
  </si>
  <si>
    <t>**wskakunin_NOBE_MENSEKI_SYOUKOURO_TOTAL</t>
  </si>
  <si>
    <t>cst_wskakunin_NOBE_MENSEKI_SYOUKOURO_TOTAL</t>
  </si>
  <si>
    <t>共同住宅の共用</t>
  </si>
  <si>
    <t>**wskakunin_NOBE_MENSEKI_KYOYOU_SHINSEI</t>
  </si>
  <si>
    <t>cst_wskakunin_NOBE_MENSEKI_KYOYOU_SHINSEI</t>
  </si>
  <si>
    <t>**wskakunin_NOBE_MENSEKI_KYOYOU_IGAI</t>
  </si>
  <si>
    <t>cst_wskakunin_NOBE_MENSEKI_KYOYOU_IGAI</t>
  </si>
  <si>
    <t>**wskakunin_NOBE_MENSEKI_KYOYOU_TOTAL</t>
  </si>
  <si>
    <t>cst_wskakunin_NOBE_MENSEKI_KYOYOU_TOTAL</t>
  </si>
  <si>
    <t>認定機械室等の部分</t>
  </si>
  <si>
    <t>**wskakunin_NOBE_MENSEKI_KIKAI_SHINSEI</t>
  </si>
  <si>
    <t>cst_wskakunin_NOBE_MENSEKI_KIKAI_SHINSEI</t>
  </si>
  <si>
    <t>**wskakunin_NOBE_MENSEKI_KIKAI_IGAI</t>
  </si>
  <si>
    <t>cst_wskakunin_NOBE_MENSEKI_KIKAI_IGAI</t>
  </si>
  <si>
    <t>**wskakunin_NOBE_MENSEKI_KIKAI_TOTAL</t>
  </si>
  <si>
    <t>cst_wskakunin_NOBE_MENSEKI_KIKAI_TOTAL</t>
  </si>
  <si>
    <t>自動車車庫等の部分</t>
  </si>
  <si>
    <t>**wskakunin_NOBE_MENSEKI_SYAKO_SHINSEI</t>
  </si>
  <si>
    <t>cst_wskakunin_NOBE_MENSEKI_SYAKO_SHINSEI</t>
  </si>
  <si>
    <t>**wskakunin_NOBE_MENSEKI_SYAKO_IGAI</t>
  </si>
  <si>
    <t>cst_wskakunin_NOBE_MENSEKI_SYAKO_IGAI</t>
  </si>
  <si>
    <t>**wskakunin_NOBE_MENSEKI_SYAKO_TOTAL</t>
  </si>
  <si>
    <t>cst_wskakunin_NOBE_MENSEKI_SYAKO_TOTAL</t>
  </si>
  <si>
    <t>備蓄倉庫の部分</t>
  </si>
  <si>
    <t>**wskakunin_NOBE_MENSEKI_BITIKUSOUKO_SHINSEI</t>
  </si>
  <si>
    <t>cst_wskakunin_NOBE_MENSEKI_BITIKUSOUKO_SHINSEI</t>
  </si>
  <si>
    <t>**wskakunin_NOBE_MENSEKI_BITIKUSOUKO_IGAI</t>
  </si>
  <si>
    <t>cst_wskakunin_NOBE_MENSEKI_BITIKUSOUKO_IGAI</t>
  </si>
  <si>
    <t>**wskakunin_NOBE_MENSEKI_BITIKUSOUKO_TOTAL</t>
  </si>
  <si>
    <t>cst_wskakunin_NOBE_MENSEKI_BITIKUSOUKO_TOTAL</t>
  </si>
  <si>
    <t>蓄電池の設置部分</t>
  </si>
  <si>
    <t>**wskakunin_NOBE_MENSEKI_TIKUDENTI_SHINSEI</t>
  </si>
  <si>
    <t>cst_wskakunin_NOBE_MENSEKI_TIKUDENTI_SHINSEI</t>
  </si>
  <si>
    <t>**wskakunin_NOBE_MENSEKI_TIKUDENTI_IGAI</t>
  </si>
  <si>
    <t>cst_wskakunin_NOBE_MENSEKI_TIKUDENTI_IGAI</t>
  </si>
  <si>
    <t>**wskakunin_NOBE_MENSEKI_TIKUDENTI_TOTAL</t>
  </si>
  <si>
    <t>cst_wskakunin_NOBE_MENSEKI_TIKUDENTI_TOTAL</t>
  </si>
  <si>
    <t>自家発電設備</t>
  </si>
  <si>
    <t>**wskakunin_NOBE_MENSEKI_JIKAHATUDEN_SHINSEI</t>
  </si>
  <si>
    <t>cst_wskakunin_NOBE_MENSEKI_JIKAHATUDEN_SHINSEI</t>
  </si>
  <si>
    <t>**wskakunin_NOBE_MENSEKI_JIKAHATUDEN_IGAI</t>
  </si>
  <si>
    <t>cst_wskakunin_NOBE_MENSEKI_JIKAHATUDEN_IGAI</t>
  </si>
  <si>
    <t>**wskakunin_NOBE_MENSEKI_JIKAHATUDEN_TOTAL</t>
  </si>
  <si>
    <t>cst_wskakunin_NOBE_MENSEKI_JIKAHATUDEN_TOTAL</t>
  </si>
  <si>
    <t>有無表示</t>
  </si>
  <si>
    <t>貯水槽の設置部分</t>
  </si>
  <si>
    <t>**wskakunin_NOBE_MENSEKI_CHOSUISOU_SHINSEI</t>
  </si>
  <si>
    <t>cst_wskakunin_NOBE_MENSEKI_CHOSUISOU_SHINSEI</t>
  </si>
  <si>
    <t>**wskakunin_NOBE_MENSEKI_CHOSUISOU_IGAI</t>
  </si>
  <si>
    <t>cst_wskakunin_NOBE_MENSEKI_CHOSUISOU_IGAI</t>
  </si>
  <si>
    <t>**wskakunin_NOBE_MENSEKI_CHOSUISOU_TOTAL</t>
  </si>
  <si>
    <t>cst_wskakunin_NOBE_MENSEKI_CHOSUISOU_TOTAL</t>
  </si>
  <si>
    <t>宅配ﾎﾞｯｸｽの設置部分</t>
  </si>
  <si>
    <t>**wskakunin_NOBE_MENSEKI_TAKUHAI_SHINSEI</t>
  </si>
  <si>
    <t>cst_wskakunin_NOBE_MENSEKI_TAKUHAI_SHINSEI</t>
  </si>
  <si>
    <t>**wskakunin_NOBE_MENSEKI_TAKUHAI_IGAI</t>
  </si>
  <si>
    <t>cst_wskakunin_NOBE_MENSEKI_TAKUHAI_IGAI</t>
  </si>
  <si>
    <t>**wskakunin_NOBE_MENSEKI_TAKUHAI_TOTAL</t>
  </si>
  <si>
    <t>cst_wskakunin_NOBE_MENSEKI_TAKUHAI_TOTAL</t>
  </si>
  <si>
    <t>その他の不算入部分</t>
  </si>
  <si>
    <t>**wskakunin_NOBE_MENSEKI_FUSANNYU_SHINSEI</t>
  </si>
  <si>
    <t>cst_wskakunin_NOBE_MENSEKI_FUSANNYU_SHINSEI</t>
  </si>
  <si>
    <t>**wskakunin_NOBE_MENSEKI_FUSANNYU_IGAI</t>
  </si>
  <si>
    <t>cst_wskakunin_NOBE_MENSEKI_FUSANNYU_IGAI</t>
  </si>
  <si>
    <t>**wskakunin_NOBE_MENSEKI_FUSANNYU_TOTAL</t>
  </si>
  <si>
    <t>cst_wskakunin_NOBE_MENSEKI_FUSANNYU_TOTAL</t>
  </si>
  <si>
    <t>住宅の部分</t>
  </si>
  <si>
    <t>**wskakunin_NOBE_MENSEKI_JYUTAKU_SHINSEI</t>
  </si>
  <si>
    <t>cst_wskakunin_NOBE_MENSEKI_JYUTAKU_SHINSEI</t>
  </si>
  <si>
    <t>**wskakunin_NOBE_MENSEKI_JYUTAKU_IGAI</t>
  </si>
  <si>
    <t>cst_wskakunin_NOBE_MENSEKI_JYUTAKU_IGAI</t>
  </si>
  <si>
    <t>**wskakunin_NOBE_MENSEKI_JYUTAKU_TOTAL</t>
  </si>
  <si>
    <t>cst_wskakunin_NOBE_MENSEKI_JYUTAKU_TOTAL</t>
  </si>
  <si>
    <t>老人ホーム</t>
  </si>
  <si>
    <t>**wskakunin_NOBE_MENSEKI_ROUJIN_SHINSEI</t>
  </si>
  <si>
    <t>cst_wskakunin_NOBE_MENSEKI_ROUJIN_SHINSEI</t>
  </si>
  <si>
    <t>**wskakunin_NOBE_MENSEKI_ROUJIN_IGAI</t>
  </si>
  <si>
    <t>cst_wskakunin_NOBE_MENSEKI_ROUJIN_IGAI</t>
  </si>
  <si>
    <t>**wskakunin_NOBE_MENSEKI_ROUJIN_TOTAL</t>
  </si>
  <si>
    <t>cst_wskakunin_NOBE_MENSEKI_ROUJIN_TOTAL</t>
  </si>
  <si>
    <t>延べ面積</t>
  </si>
  <si>
    <t>**wskakunin_NOBE_MENSEKI</t>
  </si>
  <si>
    <t>cst_wskakunin_NOBE_MENSEKI</t>
  </si>
  <si>
    <t>**wskakunin_YOUSEKI_RITU</t>
  </si>
  <si>
    <t>cst_wskakunin_YOUSEKI_RITU</t>
  </si>
  <si>
    <t>12.建築物の数</t>
  </si>
  <si>
    <t>申請に係る建築物の数</t>
  </si>
  <si>
    <t>**wskakunin_BUILD_SHINSEI_COUNT</t>
  </si>
  <si>
    <t>cst_wskakunin_BUILD_SHINSEI_COUNT</t>
  </si>
  <si>
    <t>同一敷地内の他の建築物の数</t>
  </si>
  <si>
    <t>**wskakunin_BUILD_SONOTA_COUNT</t>
  </si>
  <si>
    <t>cst_wskakunin_BUILD_SONOTA_COUNT</t>
  </si>
  <si>
    <t>13.建築物の高さ等</t>
  </si>
  <si>
    <t>最高の高さ</t>
  </si>
  <si>
    <t>申請に係る建築物</t>
  </si>
  <si>
    <t>**wskakunin_TAKASA_MAX_SHINSEI</t>
  </si>
  <si>
    <t>cst_wskakunin_TAKASA_MAX_SHINSEI</t>
  </si>
  <si>
    <t>他の建築物</t>
  </si>
  <si>
    <t>**wskakunin_TAKASA_MAX_SONOTA</t>
  </si>
  <si>
    <t>cst_wskakunin_TAKASA_MAX_SONOTA</t>
  </si>
  <si>
    <t>階数-地上</t>
  </si>
  <si>
    <t>**wskakunin_KAISU_TIJYOU_SHINSEI</t>
  </si>
  <si>
    <t>cst_wskakunin_KAISU_TIJYOU_SHINSEI</t>
  </si>
  <si>
    <t>**wskakunin_KAISU_TIJYOU_SONOTA</t>
  </si>
  <si>
    <t>cst_wskakunin_KAISU_TIJYOU_SONOTA</t>
  </si>
  <si>
    <t>階数-地下</t>
  </si>
  <si>
    <t>**wskakunin_KAISU_TIKA_SHINSEI__zero</t>
  </si>
  <si>
    <t>0</t>
  </si>
  <si>
    <t>cst_wskakunin_KAISU_TIKA_SHINSEI__zero</t>
  </si>
  <si>
    <t>**wskakunin_KAISU_TIKA_SONOTA</t>
  </si>
  <si>
    <t>cst_wskakunin_KAISU_TIKA_SONOTA</t>
  </si>
  <si>
    <t>**wskakunin_KOUZOU1</t>
  </si>
  <si>
    <t>cst_wskakunin_KOUZOU1</t>
  </si>
  <si>
    <t>一部</t>
  </si>
  <si>
    <t>**wskakunin_KOUZOU2</t>
  </si>
  <si>
    <t>cst_wskakunin_KOUZOU2</t>
  </si>
  <si>
    <t>cst_wskakunin_KOUZOU_mokuzou</t>
  </si>
  <si>
    <t>cst_wskakunin_KOUZOU_zairai</t>
  </si>
  <si>
    <t>cst_wskakunin_KOUZOU</t>
  </si>
  <si>
    <t>特例の適用の有無</t>
  </si>
  <si>
    <t>特例の有無</t>
  </si>
  <si>
    <t>**wskakunin_TOKUREI_TAKASA</t>
  </si>
  <si>
    <t>cst_wskakunin_TOKUREI_TAKASA</t>
  </si>
  <si>
    <t>ボックス-有</t>
  </si>
  <si>
    <t>cst_wskakunin_TOKUREI_TAKASA_box_on</t>
  </si>
  <si>
    <t>ボックス-無</t>
  </si>
  <si>
    <t>cst_wskakunin_TOKUREI_TAKASA_box_off</t>
  </si>
  <si>
    <t>特例の区分</t>
  </si>
  <si>
    <t>道路高さ制限不適用</t>
  </si>
  <si>
    <t>**wskakunin_TOKUREI_TAKASA_DOURO</t>
  </si>
  <si>
    <t>cst_wskakunin_TOKUREI_TAKASA_DOURO</t>
  </si>
  <si>
    <t>隣地高さ制限不適用</t>
  </si>
  <si>
    <t>**wskakunin_TOKUREI_TAKASA_RINTI</t>
  </si>
  <si>
    <t>cst_wskakunin_TOKUREI_TAKASA_RINTI</t>
  </si>
  <si>
    <t>北側高さ制限不適用</t>
  </si>
  <si>
    <t>**wskakunin_TOKUREI_TAKASA_KITA</t>
  </si>
  <si>
    <t>cst_wskakunin_TOKUREI_TAKASA_KITA</t>
  </si>
  <si>
    <t>14.許可認定等</t>
  </si>
  <si>
    <t>**wskakunin_kyoka##_****</t>
  </si>
  <si>
    <t>根拠となる法令</t>
  </si>
  <si>
    <t>**wskakunin_kyoka01_HOUREI</t>
  </si>
  <si>
    <t>cst_wskakunin_kyoka01_HOUREI</t>
  </si>
  <si>
    <t>根拠となる法令の条項</t>
  </si>
  <si>
    <t>**wskakunin_kyoka01_JOUKOU</t>
  </si>
  <si>
    <t>cst_wskakunin_kyoka01_JOUKOU</t>
  </si>
  <si>
    <t>許可・認定等の番号</t>
  </si>
  <si>
    <t>**wskakunin_kyoka01_KYOKA_NO</t>
  </si>
  <si>
    <t>cst_wskakunin_kyoka01_KYOKA_NO</t>
  </si>
  <si>
    <t>認可・認定等を受けた日付</t>
  </si>
  <si>
    <t>**wskakunin_kyoka01_KYOKA_DATE</t>
  </si>
  <si>
    <t>cst_wskakunin_kyoka01_KYOKA_DATE</t>
  </si>
  <si>
    <t>**wskakunin_kyoka01_BIKOU</t>
  </si>
  <si>
    <t>cst_wskakunin_kyoka01_BIKOU</t>
  </si>
  <si>
    <t>許可01一括出力</t>
  </si>
  <si>
    <t>**wskakunin_kyoka02_HOUREI</t>
  </si>
  <si>
    <t>cst_wskakunin_kyoka02_HOUREI</t>
  </si>
  <si>
    <t>**wskakunin_kyoka02_JOUKOU</t>
  </si>
  <si>
    <t>cst_wskakunin_kyoka02_JOUKOU</t>
  </si>
  <si>
    <t>**wskakunin_kyoka02_KYOKA_NO</t>
  </si>
  <si>
    <t>cst_wskakunin_kyoka02_KYOKA_NO</t>
  </si>
  <si>
    <t>**wskakunin_kyoka02_KYOKA_DATE</t>
  </si>
  <si>
    <t>cst_wskakunin_kyoka02_KYOKA_DATE</t>
  </si>
  <si>
    <t>**wskakunin_kyoka02_BIKOU</t>
  </si>
  <si>
    <t>cst_wskakunin_kyoka02_BIKOU</t>
  </si>
  <si>
    <t>許可02一括出力</t>
  </si>
  <si>
    <t>**wskakunin_kyoka03_HOUREI</t>
  </si>
  <si>
    <t>cst_wskakunin_kyoka03_HOUREI</t>
  </si>
  <si>
    <t>**wskakunin_kyoka03_JOUKOU</t>
  </si>
  <si>
    <t>cst_wskakunin_kyoka03_JOUKOU</t>
  </si>
  <si>
    <t>**wskakunin_kyoka03_KYOKA_NO</t>
  </si>
  <si>
    <t>cst_wskakunin_kyoka03_KYOKA_NO</t>
  </si>
  <si>
    <t>**wskakunin_kyoka03_KYOKA_DATE</t>
  </si>
  <si>
    <t>cst_wskakunin_kyoka03_KYOKA_DATE</t>
  </si>
  <si>
    <t>**wskakunin_kyoka03_BIKOU</t>
  </si>
  <si>
    <t>cst_wskakunin_kyoka03_BIKOU</t>
  </si>
  <si>
    <t>許可03一括出力</t>
  </si>
  <si>
    <t>一括出力</t>
  </si>
  <si>
    <t>cst_wskakunin_kyoka_HOUREI_all</t>
  </si>
  <si>
    <t>現在、３行対応。</t>
  </si>
  <si>
    <t>15.工事着手予定年月日</t>
  </si>
  <si>
    <t>**wskakunin_KOUJI_TYAKUSYU_YOTEI_DATE</t>
  </si>
  <si>
    <t>cst_wskakunin_KOUJI_TYAKUSYU_YOTEI_DATE</t>
  </si>
  <si>
    <t>16.工事完了予定年月日</t>
  </si>
  <si>
    <t>**wskakunin_KOUJI_KANRYOU_YOTEI_DATE</t>
  </si>
  <si>
    <t>cst_wskakunin_KOUJI_KANRYOU_YOTEI_DATE</t>
  </si>
  <si>
    <t>工事期間-年</t>
  </si>
  <si>
    <t>cst_koujikikan_year</t>
  </si>
  <si>
    <t>工事期間-月</t>
  </si>
  <si>
    <t>cst_koujikikan_month</t>
  </si>
  <si>
    <t>17.特定工程工事終了予定年月日</t>
  </si>
  <si>
    <t>回数</t>
  </si>
  <si>
    <t>**wskakunin_koutei01_KOUTEI_KAISUU</t>
  </si>
  <si>
    <t>cst_wskakunin_koutei01_KOUTEI_KAISUU</t>
  </si>
  <si>
    <t>終了予定日</t>
  </si>
  <si>
    <t>**wskakunin_koutei01_KOUTEI_DATE</t>
  </si>
  <si>
    <t>cst_wskakunin_koutei01_KOUTEI_DATE</t>
  </si>
  <si>
    <t>特定工程</t>
  </si>
  <si>
    <t>**wskakunin_koutei01_KOUTEI_TEXT</t>
  </si>
  <si>
    <t>cst_wskakunin_koutei01_KOUTEI_TEXT</t>
  </si>
  <si>
    <t>**wskakunin_koutei02_KOUTEI_KAISUU</t>
  </si>
  <si>
    <t>cst_wskakunin_koutei02_KOUTEI_KAISUU</t>
  </si>
  <si>
    <t>**wskakunin_koutei02_KOUTEI_DATE</t>
  </si>
  <si>
    <t>cst_wskakunin_koutei02_KOUTEI_DATE</t>
  </si>
  <si>
    <t>**wskakunin_koutei02_KOUTEI_TEXT</t>
  </si>
  <si>
    <t>cst_wskakunin_koutei02_KOUTEI_TEXT</t>
  </si>
  <si>
    <t>**wskakunin_koutei03_KOUTEI_KAISUU</t>
  </si>
  <si>
    <t>cst_wskakunin_koutei03_KOUTEI_KAISUU</t>
  </si>
  <si>
    <t>**wskakunin_koutei03_KOUTEI_DATE</t>
  </si>
  <si>
    <t>cst_wskakunin_koutei03_KOUTEI_DATE</t>
  </si>
  <si>
    <t>**wskakunin_koutei03_KOUTEI_TEXT</t>
  </si>
  <si>
    <t>cst_wskakunin_koutei03_KOUTEI_TEXT</t>
  </si>
  <si>
    <t>4.</t>
  </si>
  <si>
    <t>**wskakunin_koutei04_KOUTEI_KAISUU</t>
  </si>
  <si>
    <t>cst_wskakunin_koutei04_KOUTEI_KAISUU</t>
  </si>
  <si>
    <t>**wskakunin_koutei04_KOUTEI_DATE</t>
  </si>
  <si>
    <t>cst_wskakunin_koutei04_KOUTEI_DATE</t>
  </si>
  <si>
    <t>**wskakunin_koutei04_KOUTEI_TEXT</t>
  </si>
  <si>
    <t>cst_wskakunin_koutei04_KOUTEI_TEXT</t>
  </si>
  <si>
    <t>調査の要否</t>
  </si>
  <si>
    <t>**wskakunin_KITEI_CHOUSA_FLAG</t>
  </si>
  <si>
    <t>cst_wskakunin_KITEI_CHOUSA_FLAG</t>
  </si>
  <si>
    <t>cst_wskakunin_KITEI_CHOUSA_FLAG_box_on</t>
  </si>
  <si>
    <t>cst_wskakunin_KITEI_CHOUSA_FLAG_box_off</t>
  </si>
  <si>
    <t>防火設備の有無</t>
  </si>
  <si>
    <t>**wskakunin_BOUKA_SETUBI_FLAG</t>
  </si>
  <si>
    <t>cst_wskakunin_BOUKA_SETUBI_FLAG</t>
  </si>
  <si>
    <t>cst_wskakunin_BOUKA_SETUBI_FLAG_box_on</t>
  </si>
  <si>
    <t>cst_wskakunin_BOUKA_SETUBI_FLAG_box_off</t>
  </si>
  <si>
    <t>18.その他必要な事項</t>
  </si>
  <si>
    <t>**wskakunin_P3_SONOTA</t>
  </si>
  <si>
    <t>cst_wskakunin_P3_SONOTA</t>
  </si>
  <si>
    <t>19.備考</t>
  </si>
  <si>
    <t>**wskakunin_P3_BIKOU</t>
  </si>
  <si>
    <t>cst_wskakunin_P3_BIKOU</t>
  </si>
  <si>
    <t>中間検査申請</t>
  </si>
  <si>
    <t>【2.工事種別】</t>
  </si>
  <si>
    <t>【ｲ.建築基準法施工令第10条各号に掲げる建築物の区分</t>
  </si>
  <si>
    <t>文字出力</t>
  </si>
  <si>
    <t>cst_wskakunin_TOKUREI_txt</t>
  </si>
  <si>
    <t>第１号</t>
  </si>
  <si>
    <t>**wskakunin_TOKUREI_1</t>
  </si>
  <si>
    <t>第２号</t>
  </si>
  <si>
    <t>**wskakunin_TOKUREI_2</t>
  </si>
  <si>
    <t>第３号</t>
  </si>
  <si>
    <t>**wskakunin_TOKUREI_3</t>
  </si>
  <si>
    <t>第４号</t>
  </si>
  <si>
    <t>**wskakunin_TOKUREI_4</t>
  </si>
  <si>
    <t>【ﾊ.建築基準法第68条の20第２項の検査の特例に係る認証番号</t>
  </si>
  <si>
    <t>**wskakunin_KENTIKU_NINSYO_NO</t>
  </si>
  <si>
    <t>cst_wskakunin_KENTIKU_NINSYO_NO</t>
  </si>
  <si>
    <t>【6.工事着手年月日】</t>
  </si>
  <si>
    <t>**wskakunin_KOUJI_TYAKUSYU_DATE</t>
  </si>
  <si>
    <t>cst_wskakunin_KOUJI_TYAKUSYU_DATE_select</t>
  </si>
  <si>
    <t>※ 確認時：出力しない</t>
  </si>
  <si>
    <t>【7.工事完了予定年月日】</t>
  </si>
  <si>
    <t>西暦</t>
  </si>
  <si>
    <t>cst_wskakunin_KOUJI_KANRYOU_YOTEI_DATE_select</t>
  </si>
  <si>
    <t>【8.特定工程】</t>
  </si>
  <si>
    <t>【ｲ.特定工程】</t>
  </si>
  <si>
    <t>**wskakunin_TOKUTEI_KOUTEI</t>
  </si>
  <si>
    <t>cst_wskakunin_TOKUTEI_KOUTEI</t>
  </si>
  <si>
    <t>select （ 1枚目と2枚目の処理が必要 ）</t>
  </si>
  <si>
    <t xml:space="preserve"> - 中間1枚目</t>
  </si>
  <si>
    <t>cst_wskakunin_TOKUTEI_KOUTEI_inter1</t>
  </si>
  <si>
    <t xml:space="preserve"> - 中間2枚目</t>
  </si>
  <si>
    <t>cst_wskakunin_TOKUTEI_KOUTEI_inter2</t>
  </si>
  <si>
    <t>【ﾛ.特定工程工事終了年月日】</t>
  </si>
  <si>
    <t>**wskakunin_TOKUTEI_KOUJI_KANRYOU_DATE</t>
  </si>
  <si>
    <t>cst_wskakunin_TOKUTEI_KOUJI_KANRYOU_DATE_select</t>
  </si>
  <si>
    <t>【ﾊ.検査対象床面積】</t>
  </si>
  <si>
    <t>**wskakunin_KENSA_YUKA_MENSEKI</t>
  </si>
  <si>
    <t>cst_wskakunin_KENSA_YUKA_MENSEKI_select</t>
  </si>
  <si>
    <t>【9.今回申請以前の中間検査】</t>
  </si>
  <si>
    <t>**wskakunin_koutei_izen01_KOUTEI_KAISUU</t>
  </si>
  <si>
    <t>cst_wskakunin_koutei_izen01_KOUTEI_KAISUU</t>
  </si>
  <si>
    <t>**wskakunin_koutei_izen01_KOUTEI_TEXT</t>
  </si>
  <si>
    <t>cst_wskakunin_koutei_izen01_KOUTEI_TEXT</t>
  </si>
  <si>
    <t>【ﾛ.中間検査合格証交付者】</t>
  </si>
  <si>
    <t>**wskakunin_koutei_izen01_INTER_ISSUE_NAME</t>
  </si>
  <si>
    <t>cst_wskakunin_koutei_izen01_INTER_ISSUE_NAME</t>
  </si>
  <si>
    <t>【ﾊ.中間検査合格証番号】</t>
  </si>
  <si>
    <t>**wskakunin_koutei_izen01_INTER_ISSUE_NO</t>
  </si>
  <si>
    <t>cst_wskakunin_koutei_izen01_INTER_ISSUE_NO</t>
  </si>
  <si>
    <t>【ﾆ.交付年月日】</t>
  </si>
  <si>
    <t>**wskakunin_koutei_izen01_INTER_ISSUE_DATE</t>
  </si>
  <si>
    <t>cst_wskakunin_koutei_izen01_INTER_ISSUE_DATE</t>
  </si>
  <si>
    <t>**wskakunin_koutei_izen02_KOUTEI_KAISUU</t>
  </si>
  <si>
    <t>cst_wskakunin_koutei_izen02_KOUTEI_KAISUU</t>
  </si>
  <si>
    <t>**wskakunin_koutei_izen02_KOUTEI_TEXT</t>
  </si>
  <si>
    <t>cst_wskakunin_koutei_izen02_KOUTEI_TEXT</t>
  </si>
  <si>
    <t>**wskakunin_koutei_izen02_INTER_ISSUE_NAME</t>
  </si>
  <si>
    <t>cst_wskakunin_koutei_izen02_INTER_ISSUE_NAME</t>
  </si>
  <si>
    <t>**wskakunin_koutei_izen02_INTER_ISSUE_NO</t>
  </si>
  <si>
    <t>cst_wskakunin_koutei_izen02_INTER_ISSUE_NO</t>
  </si>
  <si>
    <t>**wskakunin_koutei_izen02_INTER_ISSUE_DATE</t>
  </si>
  <si>
    <t>cst_wskakunin_koutei_izen02_INTER_ISSUE_DATE</t>
  </si>
  <si>
    <t>**wskakunin_koutei_izen03_KOUTEI_KAISUU</t>
  </si>
  <si>
    <t>cst_wskakunin_koutei_izen03_KOUTEI_KAISUU</t>
  </si>
  <si>
    <t>**wskakunin_koutei_izen03_KOUTEI_TEXT</t>
  </si>
  <si>
    <t>cst_wskakunin_koutei_izen03_KOUTEI_TEXT</t>
  </si>
  <si>
    <t>**wskakunin_koutei_izen03_INTER_ISSUE_NAME</t>
  </si>
  <si>
    <t>cst_wskakunin_koutei_izen03_INTER_ISSUE_NAME</t>
  </si>
  <si>
    <t>**wskakunin_koutei_izen03_INTER_ISSUE_NO</t>
  </si>
  <si>
    <t>cst_wskakunin_koutei_izen03_INTER_ISSUE_NO</t>
  </si>
  <si>
    <t>**wskakunin_koutei_izen03_INTER_ISSUE_DATE</t>
  </si>
  <si>
    <t>cst_wskakunin_koutei_izen03_INTER_ISSUE_DATE</t>
  </si>
  <si>
    <t>**wskakunin_koutei_izen04_KOUTEI_KAISUU</t>
  </si>
  <si>
    <t>cst_wskakunin_koutei_izen04_KOUTEI_KAISUU</t>
  </si>
  <si>
    <t>**wskakunin_koutei_izen04_KOUTEI_TEXT</t>
  </si>
  <si>
    <t>cst_wskakunin_koutei_izen04_KOUTEI_TEXT</t>
  </si>
  <si>
    <t>**wskakunin_koutei_izen04_INTER_ISSUE_NAME</t>
  </si>
  <si>
    <t>cst_wskakunin_koutei_izen04_INTER_ISSUE_NAME</t>
  </si>
  <si>
    <t>**wskakunin_koutei_izen04_INTER_ISSUE_NO</t>
  </si>
  <si>
    <t>cst_wskakunin_koutei_izen04_INTER_ISSUE_NO</t>
  </si>
  <si>
    <t>**wskakunin_koutei_izen04_INTER_ISSUE_DATE</t>
  </si>
  <si>
    <t>cst_wskakunin_koutei_izen04_INTER_ISSUE_DATE</t>
  </si>
  <si>
    <t>以前の中間 左側：</t>
  </si>
  <si>
    <t>中間1枚目出力用</t>
  </si>
  <si>
    <t xml:space="preserve"> - 回数</t>
  </si>
  <si>
    <t>cst_wskakunin_koutei_izen01_KOUTEI_KAISUU_inter1</t>
  </si>
  <si>
    <t xml:space="preserve"> - 【ｲ.特定工程】</t>
  </si>
  <si>
    <t>cst_wskakunin_koutei_izen01_KOUTEI_TEXT_inter1</t>
  </si>
  <si>
    <t xml:space="preserve"> - 【ﾛ.中間検査合格証交付者】</t>
  </si>
  <si>
    <t>cst_wskakunin_koutei_izen01_INTER_ISSUE_NAME_inter1</t>
  </si>
  <si>
    <t xml:space="preserve"> - 【ﾊ.中間検査合格証番号】</t>
  </si>
  <si>
    <t>cst_wskakunin_koutei_izen01_INTER_ISSUE_NO_inter1</t>
  </si>
  <si>
    <t xml:space="preserve"> - 【ﾆ.交付年月日】</t>
  </si>
  <si>
    <t>cst_wskakunin_koutei_izen01_INTER_ISSUE_DATE_inter1</t>
  </si>
  <si>
    <t>中間2枚目出力用</t>
  </si>
  <si>
    <t>※ 確認時：特定工程1の入力があれば出力</t>
  </si>
  <si>
    <t>cst_wskakunin_koutei_izen01_KOUTEI_KAISUU_inter2</t>
  </si>
  <si>
    <t>cst_wskakunin_koutei_izen01_KOUTEI_TEXT_inter2</t>
  </si>
  <si>
    <t>cst_wskakunin_koutei_izen01_INTER_ISSUE_NAME_inter2</t>
  </si>
  <si>
    <t>cst_wskakunin_koutei_izen01_INTER_ISSUE_NO_inter2</t>
  </si>
  <si>
    <t>cst_wskakunin_koutei_izen01_INTER_ISSUE_DATE_inter2</t>
  </si>
  <si>
    <t>以前の中間 右側：</t>
  </si>
  <si>
    <t>cst_wskakunin_koutei_izen02_KOUTEI_KAISUU_inter1</t>
  </si>
  <si>
    <t>cst_wskakunin_koutei_izen02_KOUTEI_TEXT_inter1</t>
  </si>
  <si>
    <t>cst_wskakunin_koutei_izen02_INTER_ISSUE_NAME_inter1</t>
  </si>
  <si>
    <t>cst_wskakunin_koutei_izen02_INTER_ISSUE_NO_inter1</t>
  </si>
  <si>
    <t>cst_wskakunin_koutei_izen02_INTER_ISSUE_DATE_inter1</t>
  </si>
  <si>
    <t>cst_wskakunin_koutei_izen02_KOUTEI_KAISUU_inter2</t>
  </si>
  <si>
    <t>cst_wskakunin_koutei_izen02_KOUTEI_TEXT_inter2</t>
  </si>
  <si>
    <t>cst_wskakunin_koutei_izen02_INTER_ISSUE_NAME_inter2</t>
  </si>
  <si>
    <t>cst_wskakunin_koutei_izen02_INTER_ISSUE_NO_inter2</t>
  </si>
  <si>
    <t>cst_wskakunin_koutei_izen02_INTER_ISSUE_DATE_inter2</t>
  </si>
  <si>
    <t>【10.今回申請以降の中間検査】</t>
  </si>
  <si>
    <t>**wskakunin_koutei_ikou01_KOUTEI_KAISUU</t>
  </si>
  <si>
    <t>cst_wskakunin_koutei_ikou01_KOUTEI_KAISUU</t>
  </si>
  <si>
    <t>**wskakunin_koutei_ikou01_KOUTEI_TEXT</t>
  </si>
  <si>
    <t>cst_wskakunin_koutei_ikou01_KOUTEI_TEXT</t>
  </si>
  <si>
    <t>【ﾛ.特定工程工事終了予定年月日】</t>
  </si>
  <si>
    <t>**wskakunin_koutei_ikou01_KOUTEI_DATE</t>
  </si>
  <si>
    <t>cst_wskakunin_koutei_ikou01_KOUTEI_DATE</t>
  </si>
  <si>
    <t>2</t>
  </si>
  <si>
    <t>**wskakunin_koutei_ikou02_KOUTEI_KAISUU</t>
  </si>
  <si>
    <t>cst_wskakunin_koutei_ikou02_KOUTEI_KAISUU</t>
  </si>
  <si>
    <t>**wskakunin_koutei_ikou02_KOUTEI_TEXT</t>
  </si>
  <si>
    <t>cst_wskakunin_koutei_ikou02_KOUTEI_TEXT</t>
  </si>
  <si>
    <t>**wskakunin_koutei_ikou02_KOUTEI_DATE</t>
  </si>
  <si>
    <t>cst_wskakunin_koutei_ikou02_KOUTEI_DATE</t>
  </si>
  <si>
    <t>以降の中間 左側：</t>
  </si>
  <si>
    <t>※ 中間1枚目 - 確認時：特定工程2があれば出力</t>
  </si>
  <si>
    <t>cst_wskakunin_koutei_ikou01_KOUTEI_KAISUU_inter1</t>
  </si>
  <si>
    <t>cst_wskakunin_koutei_ikou01_KOUTEI_TEXT_inter1</t>
  </si>
  <si>
    <t xml:space="preserve"> - 【ﾛ.特定工程工事終了予定年月日】</t>
  </si>
  <si>
    <t>cst_wskakunin_koutei_ikou01_KOUTEI_DATE_inter1</t>
  </si>
  <si>
    <t>※ 中間2枚目 - 確認時：特定工程3があれば出力</t>
  </si>
  <si>
    <t>cst_wskakunin_koutei_ikou01_KOUTEI_KAISUU_inter2</t>
  </si>
  <si>
    <t>cst_wskakunin_koutei_ikou01_KOUTEI_TEXT_inter2</t>
  </si>
  <si>
    <t>cst_wskakunin_koutei_ikou01_KOUTEI_DATE_inter2</t>
  </si>
  <si>
    <t>以降の中間 右側：</t>
  </si>
  <si>
    <t>※ 中間1枚目 - 確認時：特定工程3があれば出力</t>
  </si>
  <si>
    <t>cst_wskakunin_koutei_ikou02_KOUTEI_KAISUU_inter1</t>
  </si>
  <si>
    <t>cst_wskakunin_koutei_ikou02_KOUTEI_TEXT_inter1</t>
  </si>
  <si>
    <t>cst_wskakunin_koutei_ikou02_KOUTEI_DATE_inter1</t>
  </si>
  <si>
    <t>※ 中間2枚目 - 確認時：特定工程4があれば出力</t>
  </si>
  <si>
    <t>cst_wskakunin_koutei_ikou02_KOUTEI_KAISUU_inter2</t>
  </si>
  <si>
    <t>cst_wskakunin_koutei_ikou02_KOUTEI_TEXT_inter2</t>
  </si>
  <si>
    <t>cst_wskakunin_koutei_ikou02_KOUTEI_DATE_inter2</t>
  </si>
  <si>
    <t>【11.確認以降の軽微な変更の概要】</t>
  </si>
  <si>
    <t>wskakunin_keibi_henkou01_</t>
  </si>
  <si>
    <t>【ｲ.変更された設計図書の種類】</t>
  </si>
  <si>
    <t>**wskakunin_keibi_henkou01_HENKOU_SYURUI</t>
  </si>
  <si>
    <t>cst_wskakunin_keibi_henkou01_HENKOU_SYURUI</t>
  </si>
  <si>
    <t>【ﾛ.変更の概要】</t>
  </si>
  <si>
    <t>**wskakunin_keibi_henkou01_HENKOU_GAIYOU</t>
  </si>
  <si>
    <t>cst_wskakunin_keibi_henkou01_HENKOU_GAIYOU</t>
  </si>
  <si>
    <t>完了検査申請</t>
  </si>
  <si>
    <t>【7.工事完了年月日】</t>
  </si>
  <si>
    <t>**wskakunin_KOUJI_KANRYOU_DATE</t>
  </si>
  <si>
    <t>cst_wskakunin_KOUJI_KANRYOU_DATE_select</t>
  </si>
  <si>
    <t>【9.検査経過】</t>
  </si>
  <si>
    <t>左側：</t>
  </si>
  <si>
    <t>※ 確認(10)、完了(40)で用いる</t>
  </si>
  <si>
    <t xml:space="preserve">【ﾛ.中間検査合格証交付者】 </t>
  </si>
  <si>
    <t>**wskakunin_koutei01_INTER_ISSUE_NAME</t>
  </si>
  <si>
    <t>cst_wskakunin_koutei01_INTER_ISSUE_NAME</t>
  </si>
  <si>
    <t>**wskakunin_koutei01_INTER_ISSUE_NO</t>
  </si>
  <si>
    <t>cst_wskakunin_koutei01_INTER_ISSUE_NO</t>
  </si>
  <si>
    <t>**wskakunin_koutei01_INTER_ISSUE_DATE</t>
  </si>
  <si>
    <t>cst_wskakunin_koutei01_INTER_ISSUE_DATE</t>
  </si>
  <si>
    <t>出力用</t>
  </si>
  <si>
    <t>cst_wskakunin_koutei_keika01_KOUTEI_KAISUU_select</t>
  </si>
  <si>
    <t>cst_wskakunin_koutei_keika01_KOUTEI_TEXT_select</t>
  </si>
  <si>
    <t>cst_wskakunin_koutei_keika01_INTER_ISSUE_NAME_select</t>
  </si>
  <si>
    <t>cst_wskakunin_koutei_keika01_INTER_ISSUE_NO_select</t>
  </si>
  <si>
    <t>cst_wskakunin_koutei_keika01_INTER_ISSUE_DATE_select</t>
  </si>
  <si>
    <t>右側：</t>
  </si>
  <si>
    <t>**wskakunin_koutei02_INTER_ISSUE_NAME</t>
  </si>
  <si>
    <t>cst_wskakunin_koutei02_INTER_ISSUE_NAME</t>
  </si>
  <si>
    <t>**wskakunin_koutei02_INTER_ISSUE_NO</t>
  </si>
  <si>
    <t>cst_wskakunin_koutei02_INTER_ISSUE_NO</t>
  </si>
  <si>
    <t>**wskakunin_koutei02_INTER_ISSUE_DATE</t>
  </si>
  <si>
    <t>cst_wskakunin_koutei02_INTER_ISSUE_DATE</t>
  </si>
  <si>
    <t>cst_wskakunin_koutei_keika02_KOUTEI_KAISUU_select</t>
  </si>
  <si>
    <t>cst_wskakunin_koutei_keika02_KOUTEI_TEXT_select</t>
  </si>
  <si>
    <t>cst_wskakunin_koutei_keika02_INTER_ISSUE_NAME_select</t>
  </si>
  <si>
    <t>cst_wskakunin_koutei_keika02_INTER_ISSUE_NO_select</t>
  </si>
  <si>
    <t>cst_wskakunin_koutei_keika02_INTER_ISSUE_DATE_select</t>
  </si>
  <si>
    <t>基準法より</t>
  </si>
  <si>
    <t>**shinsei_build_YOUTO</t>
  </si>
  <si>
    <t>cst_shinsei_build_YOUTO</t>
  </si>
  <si>
    <t>会社情報 履歴</t>
  </si>
  <si>
    <t>状態</t>
  </si>
  <si>
    <t>履歴</t>
  </si>
  <si>
    <t>開始日</t>
  </si>
  <si>
    <t>会社タイプ</t>
  </si>
  <si>
    <t>代表者名</t>
  </si>
  <si>
    <t>会社名表記名</t>
  </si>
  <si>
    <t>誕生日</t>
  </si>
  <si>
    <t>代表取締役　鳥居　敏夫</t>
  </si>
  <si>
    <t>帳票情報</t>
  </si>
  <si>
    <t>採用情報</t>
  </si>
  <si>
    <t>帳票名</t>
  </si>
  <si>
    <t>Ctrl</t>
  </si>
  <si>
    <t>検査結果</t>
  </si>
  <si>
    <t>会社名２</t>
  </si>
  <si>
    <t>TODAY</t>
  </si>
  <si>
    <t>cls_JOB_SET_KIND_erea</t>
  </si>
  <si>
    <t>cls_JOB_SET_KIND_base_point</t>
  </si>
  <si>
    <t>不明な申請</t>
  </si>
  <si>
    <t>基準法</t>
  </si>
  <si>
    <t>適合証明</t>
  </si>
  <si>
    <t>性能評価</t>
  </si>
  <si>
    <t>*</t>
  </si>
  <si>
    <t>cls_TARGET_KIND_erea</t>
  </si>
  <si>
    <t>cls_TARGET_KIND_base_point</t>
  </si>
  <si>
    <t>建築設備</t>
  </si>
  <si>
    <t>工作物(88-1)</t>
  </si>
  <si>
    <t>工作物(88-2)</t>
  </si>
  <si>
    <t>cls_JOB_KIND_erea</t>
  </si>
  <si>
    <t>cls_JOB_KIND_base_point</t>
  </si>
  <si>
    <t>確認申請</t>
  </si>
  <si>
    <t>計画変更</t>
  </si>
  <si>
    <t>中間検査</t>
  </si>
  <si>
    <t>完了検査</t>
  </si>
  <si>
    <t>その他申請</t>
  </si>
  <si>
    <t>申請書</t>
  </si>
  <si>
    <t>建ぺい率</t>
  </si>
  <si>
    <t>工事届</t>
  </si>
  <si>
    <t>工事届_2410</t>
  </si>
  <si>
    <t>一級</t>
  </si>
  <si>
    <t>二級</t>
  </si>
  <si>
    <t>木造</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</si>
  <si>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</si>
  <si>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</si>
  <si>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</si>
  <si>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</si>
  <si>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</si>
  <si>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</si>
  <si>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</si>
  <si>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</si>
  <si>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</si>
  <si>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</si>
  <si>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</si>
  <si>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</si>
  <si>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建物構造</t>
  </si>
  <si>
    <t>用途区分（建築物）</t>
  </si>
  <si>
    <t>名称（建築物）</t>
  </si>
  <si>
    <t>用途区分（工作物1）</t>
  </si>
  <si>
    <t>名称（工作物1）</t>
  </si>
  <si>
    <t>用途区分（工作物2）</t>
  </si>
  <si>
    <t>名称（工作物2）</t>
  </si>
  <si>
    <t>耐火建築物</t>
  </si>
  <si>
    <t>便所の種類</t>
  </si>
  <si>
    <t>用途コート</t>
  </si>
  <si>
    <t>用途分類</t>
  </si>
  <si>
    <t>構造コード</t>
  </si>
  <si>
    <t>大臣</t>
  </si>
  <si>
    <t>埼玉県知事</t>
  </si>
  <si>
    <t>なし</t>
  </si>
  <si>
    <t>08010</t>
  </si>
  <si>
    <t>一戸建ての住宅</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</si>
  <si>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</si>
  <si>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</si>
  <si>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</si>
  <si>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</si>
  <si>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</si>
  <si>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</si>
  <si>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居住専用住宅（附属建築物を除く。）</t>
  </si>
  <si>
    <t>住宅、住宅附属建築物（物置、車庫等）</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</si>
  <si>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</si>
  <si>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</si>
  <si>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</si>
  <si>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</si>
  <si>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</si>
  <si>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</si>
  <si>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</si>
  <si>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</si>
  <si>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</si>
  <si>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</si>
  <si>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</si>
  <si>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居住専用住宅附属建築物（物置，車庫等）</t>
  </si>
  <si>
    <t>寮、合宿所、寄宿舎、準住宅附属建築物（物置、車庫等）</t>
  </si>
  <si>
    <t>鉄骨鉄筋コンクリート造</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</si>
  <si>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</si>
  <si>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</si>
  <si>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</si>
  <si>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</si>
  <si>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</si>
  <si>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</si>
  <si>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</si>
  <si>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</si>
  <si>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</si>
  <si>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</si>
  <si>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</si>
  <si>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寮，寄宿舎，合宿所（附属建築物を除く。）</t>
  </si>
  <si>
    <t>農業、林業、漁業、水産養殖業</t>
  </si>
  <si>
    <t>鉄筋コンクリート造</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</si>
  <si>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</si>
  <si>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</si>
  <si>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</si>
  <si>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</si>
  <si>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</si>
  <si>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</si>
  <si>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</si>
  <si>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</si>
  <si>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</si>
  <si>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</si>
  <si>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寮，寄宿舎，合宿所附属建築物（物置，車庫等）</t>
  </si>
  <si>
    <t>鉱業、採石業、砂利採取業、建設業</t>
  </si>
  <si>
    <t>茨城県知事</t>
  </si>
  <si>
    <t>08050</t>
  </si>
  <si>
    <t>下宿</t>
  </si>
  <si>
    <t>06350</t>
  </si>
  <si>
    <t>擁壁</t>
  </si>
  <si>
    <t>06450</t>
  </si>
  <si>
    <t>汚物処理場、ごみ焼却場その他の処理施設の用途に供するもの</t>
  </si>
  <si>
    <t>準耐火建築物（ロ-2）</t>
  </si>
  <si>
    <t>05</t>
  </si>
  <si>
    <t>他に分類されない居住専用建築物</t>
  </si>
  <si>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</si>
  <si>
    <t>コンクリートブロック造</t>
  </si>
  <si>
    <t>栃木県知事</t>
  </si>
  <si>
    <t>08060</t>
  </si>
  <si>
    <t>住宅で事務所、店舗その他これらに類する用途を兼ねるもの</t>
  </si>
  <si>
    <t xml:space="preserve">06360  </t>
  </si>
  <si>
    <t>ウォーターシュート、コースターその他これに類する高架の遊戯施設</t>
  </si>
  <si>
    <t>06460</t>
  </si>
  <si>
    <t>農業，林業，漁業，水産養殖業</t>
  </si>
  <si>
    <t>電気・ガス・熱供給・水道業</t>
  </si>
  <si>
    <t>08070</t>
  </si>
  <si>
    <t>幼稚園</t>
  </si>
  <si>
    <t>06</t>
  </si>
  <si>
    <t>群馬県知事</t>
  </si>
  <si>
    <t xml:space="preserve">06370 </t>
  </si>
  <si>
    <t>メリーゴーランド、観覧車、オクトパス、飛行塔その他これらに類する回転運動をする遊戯施設で原動機を使用するもの</t>
  </si>
  <si>
    <t>鉱業，採石業，砂利採取業</t>
  </si>
  <si>
    <t>通信業、放送業、情報サービス業、インターネット附随サービス業、映像・音声・文字情報制作業</t>
  </si>
  <si>
    <t>08080</t>
  </si>
  <si>
    <t>小学校</t>
  </si>
  <si>
    <t>北海道知事</t>
  </si>
  <si>
    <t>建設業</t>
  </si>
  <si>
    <t>鉄道業、道路旅客運送業、道路貨物運送業、水運業、航空運輸業、倉庫業、運輸に附帯するサービス業</t>
  </si>
  <si>
    <t>08082</t>
  </si>
  <si>
    <t>義務教育学校</t>
  </si>
  <si>
    <t>青森県知事</t>
  </si>
  <si>
    <t>08090</t>
  </si>
  <si>
    <t>中学校又は高等学校</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</si>
  <si>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</si>
  <si>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卸売業、小売業</t>
  </si>
  <si>
    <t>中学校、高等学校又は中等教育学校</t>
  </si>
  <si>
    <t>岩手県知事</t>
  </si>
  <si>
    <t>08100</t>
  </si>
  <si>
    <t>養護学校、盲学校又は聾学校</t>
  </si>
  <si>
    <t>化学工業，石油製品・石炭製品製造業</t>
  </si>
  <si>
    <t>金融業、保険業</t>
  </si>
  <si>
    <t>特別支援学校</t>
  </si>
  <si>
    <t>宮城県知事</t>
  </si>
  <si>
    <t>08110</t>
  </si>
  <si>
    <t>大学又は高等専門学校</t>
  </si>
  <si>
    <t>鉄鋼業，非鉄金属製造業，金属製品製造業</t>
  </si>
  <si>
    <t>不動産取引業、不動産賃貸業・管理業</t>
  </si>
  <si>
    <t>秋田県知事</t>
  </si>
  <si>
    <t>08120</t>
  </si>
  <si>
    <t>専修学校</t>
  </si>
  <si>
    <t>はん用機械器具製造業，生産用機械器具製造業，業務用機械器具製造業，電子部品・デバイス・電子回路製造業，電気機械器具製造業，情報通信機械器具製造業，輸送用機械器具製造業</t>
  </si>
  <si>
    <t>宿泊業、飲食店、持ち帰り・配達飲食サービス業</t>
  </si>
  <si>
    <t>山形県知事</t>
  </si>
  <si>
    <t>08130</t>
  </si>
  <si>
    <t>各種学校</t>
  </si>
  <si>
    <t>ゴム製品製造業，なめし革・同製品・毛皮製造業，その他の製造業</t>
  </si>
  <si>
    <t>学校教育、その他の教育、学習支援業（社会教育、学習塾及び教養・技能教授業ほか）</t>
  </si>
  <si>
    <t>福島県知事</t>
  </si>
  <si>
    <t>08140</t>
  </si>
  <si>
    <t>図書館その他これらに類するもの</t>
  </si>
  <si>
    <t>電気業</t>
  </si>
  <si>
    <t>医療業、保健衛生、社会保険・社会福祉・介護事業</t>
  </si>
  <si>
    <t>08132</t>
  </si>
  <si>
    <t>幼保連携型認定こども園</t>
  </si>
  <si>
    <t>新潟県知事</t>
  </si>
  <si>
    <t>08150</t>
  </si>
  <si>
    <t>博物館その他これらに類するもの</t>
  </si>
  <si>
    <t>ガス業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</si>
  <si>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</si>
  <si>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図書館その他これに類するもの</t>
  </si>
  <si>
    <t>富山県知事</t>
  </si>
  <si>
    <t>08160</t>
  </si>
  <si>
    <t>神社、寺院、教会その他これらに類するもの</t>
  </si>
  <si>
    <t>熱供給業</t>
  </si>
  <si>
    <t>国家公務、地方公務</t>
  </si>
  <si>
    <t>博物館その他これに類するもの</t>
  </si>
  <si>
    <t>石川県知事</t>
  </si>
  <si>
    <t>08170</t>
  </si>
  <si>
    <t>老人ホーム、身体障害者福祉ホームその他これに類するもの</t>
  </si>
  <si>
    <t>水道業</t>
  </si>
  <si>
    <t>他に分類されないもの</t>
  </si>
  <si>
    <t>08152</t>
  </si>
  <si>
    <t>美術館その他これに類するもの</t>
  </si>
  <si>
    <t>福井県知事</t>
  </si>
  <si>
    <t>08180</t>
  </si>
  <si>
    <t>保育所その他これに類するもの</t>
  </si>
  <si>
    <t>通信業</t>
  </si>
  <si>
    <t>山梨県知事</t>
  </si>
  <si>
    <t>08190</t>
  </si>
  <si>
    <t>助産所</t>
  </si>
  <si>
    <t>放送業，情報サービス業，インターネット附随サービス業</t>
  </si>
  <si>
    <t>老人ホーム、福祉ホームその他これに類するもの</t>
  </si>
  <si>
    <t>長野県知事</t>
  </si>
  <si>
    <t>08210</t>
  </si>
  <si>
    <t>児童福祉施設等（前３項に掲げるものを除く。）</t>
  </si>
  <si>
    <t>映像・音声・文字情報製作業（新聞業及び出版業を除く。）</t>
  </si>
  <si>
    <t>岐阜県知事</t>
  </si>
  <si>
    <t>08220</t>
  </si>
  <si>
    <t>隣保館</t>
  </si>
  <si>
    <t>映像・音声・文字情報制作業（新聞業及び出版業に限る。）</t>
  </si>
  <si>
    <t>助産所（入所する者の寝室があるものに限る。）</t>
  </si>
  <si>
    <t>静岡県知事</t>
  </si>
  <si>
    <t>08230</t>
  </si>
  <si>
    <t>公衆浴場（個室付浴場業に係る公衆浴場を除く。）</t>
  </si>
  <si>
    <t>鉄道業，道路旅客運送業，道路貨物運送業，水運業，航空，運輸業，倉庫業，運輸に附帯するサービス業</t>
  </si>
  <si>
    <t>08192</t>
  </si>
  <si>
    <t>助産所（入所する者の寝室がないものに限る。）</t>
  </si>
  <si>
    <t>愛知県知事</t>
  </si>
  <si>
    <t>08240</t>
  </si>
  <si>
    <t>診療所（患者の収容施設のあるものに限る。）</t>
  </si>
  <si>
    <t>卸売業，小売業</t>
  </si>
  <si>
    <t>児童福祉施設等（建築基準法施行令第19条第１項に規定する児童福祉施設等をいい、前４項に掲げるものを除く。次項において同じ。）（入所する者の寝室があるものに限る。）</t>
  </si>
  <si>
    <t>三重県知事</t>
  </si>
  <si>
    <t>08250</t>
  </si>
  <si>
    <t>診療所（患者の収容施設のないものに限る。）</t>
  </si>
  <si>
    <t>金融業，保険業</t>
  </si>
  <si>
    <t>児童福祉施設等（入所する者の寝室がないものに限る。）</t>
  </si>
  <si>
    <t>滋賀県知事</t>
  </si>
  <si>
    <t>08260</t>
  </si>
  <si>
    <t>病院</t>
  </si>
  <si>
    <t>不動産取引業，不動産賃貸業・管理業（駐車場業を除く。）</t>
  </si>
  <si>
    <t>京都府知事</t>
  </si>
  <si>
    <t>08270</t>
  </si>
  <si>
    <t>巡査派出所</t>
  </si>
  <si>
    <t>不動産賃貸業・管理業（駐車場業に限る。）</t>
  </si>
  <si>
    <t>大阪府知事</t>
  </si>
  <si>
    <t>08280</t>
  </si>
  <si>
    <t>公衆電話所</t>
  </si>
  <si>
    <t>宿泊業</t>
  </si>
  <si>
    <t>兵庫県知事</t>
  </si>
  <si>
    <t>08290</t>
  </si>
  <si>
    <t>郵便局</t>
  </si>
  <si>
    <t>飲食店，持ち帰り・配達飲食サービス業</t>
  </si>
  <si>
    <t>奈良県知事</t>
  </si>
  <si>
    <t>08300</t>
  </si>
  <si>
    <t>地方公共団体の支庁又は支所</t>
  </si>
  <si>
    <t>学校教育</t>
  </si>
  <si>
    <t>和歌山県知事</t>
  </si>
  <si>
    <t>08310</t>
  </si>
  <si>
    <t>公衆便所、休憩所又は路線バスの停留所の上屋</t>
  </si>
  <si>
    <t>その他の教育及び学習支援業（社会教育に限る。）</t>
  </si>
  <si>
    <t>鳥取県知事</t>
  </si>
  <si>
    <t>08320</t>
  </si>
  <si>
    <t>建築基準法施行令第130条の4第5号に基づき国土交通大臣が指定する施設</t>
  </si>
  <si>
    <t>その他の教育及び学習支援業（学習塾及び教養・技能教授業に限る。）</t>
  </si>
  <si>
    <t>郵便法（昭和22年法律第165号）の規定により行う郵便の業務の用に供する施設</t>
  </si>
  <si>
    <t>島根県知事</t>
  </si>
  <si>
    <t>08330</t>
  </si>
  <si>
    <t>税務署、警察署、保健所又は消防署その他これらに類するもの</t>
  </si>
  <si>
    <t>その他の教育及び学習支援業（記号35及び記号36に該当するものを除く。）</t>
  </si>
  <si>
    <t>岡山県知事</t>
  </si>
  <si>
    <t>08340</t>
  </si>
  <si>
    <t>工場（自動車修理工場を除く。）</t>
  </si>
  <si>
    <t>医療業，保健衛生</t>
  </si>
  <si>
    <t>公衆便所、休憩所又は路線バスの停留所の上家</t>
  </si>
  <si>
    <t>広島県知事</t>
  </si>
  <si>
    <t>08350</t>
  </si>
  <si>
    <t>自動車修理工場</t>
  </si>
  <si>
    <t>社会保険・社会福祉・介護事業</t>
  </si>
  <si>
    <t>建築基準法施行令第130条の４第５号に基づき国土交通大臣が指定する施設</t>
  </si>
  <si>
    <t>山口県知事</t>
  </si>
  <si>
    <t>08360</t>
  </si>
  <si>
    <t>危険物の貯蔵又は処理に供するもの</t>
  </si>
  <si>
    <t>郵便業（信書便事業を含む。），郵便局</t>
  </si>
  <si>
    <t>徳島県知事</t>
  </si>
  <si>
    <t>08370</t>
  </si>
  <si>
    <t>ボーリング場、スケート場、水泳場、スキー場、ゴルフ練習場又はバッティング練習場</t>
  </si>
  <si>
    <t>学術・開発研究機関，政治・経済・文化団体</t>
  </si>
  <si>
    <t>香川県知事</t>
  </si>
  <si>
    <t>08380</t>
  </si>
  <si>
    <t>体育館又はスポーツの練習場（前項に掲げるものを除く。）</t>
  </si>
  <si>
    <t>その他の生活関連サービス業（旅行業に限る。）</t>
  </si>
  <si>
    <t>愛媛県知事</t>
  </si>
  <si>
    <t>08390</t>
  </si>
  <si>
    <t>マージャン屋、ぱちんこ屋、射的場、勝馬投票券発売所、場外車券売り場その他これらに類するもの又はカラオケボックスその他これらに類するもの</t>
  </si>
  <si>
    <t>娯楽業</t>
  </si>
  <si>
    <t>高知県知事</t>
  </si>
  <si>
    <t>08400</t>
  </si>
  <si>
    <t>ホテル又は旅館</t>
  </si>
  <si>
    <t>宗教</t>
  </si>
  <si>
    <t>福岡県知事</t>
  </si>
  <si>
    <t>08410</t>
  </si>
  <si>
    <t>自動車教習所</t>
  </si>
  <si>
    <t>物品賃貸業，専門サービス業，広告業，技術サービス業，洗濯・理容・美容・浴場業，その他の生活関連サービス業（旅行業を除く。），協同組合，サービス業（他に分類されないもの）（記号41及び記号44に該当するものを除く。）</t>
  </si>
  <si>
    <t>佐賀県知事</t>
  </si>
  <si>
    <t>08420</t>
  </si>
  <si>
    <t>畜舎</t>
  </si>
  <si>
    <t>国家公務，地方公務</t>
  </si>
  <si>
    <t>マージャン屋、ぱちんこ屋、射的場、勝馬投票券発売所、場外車券売場その他これらに類するもの又はカラオケボックスその他これらに類するもの</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</si>
  <si>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</si>
  <si>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</si>
  <si>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</si>
  <si>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</si>
  <si>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</si>
  <si>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</si>
  <si>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</si>
  <si>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</si>
  <si>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</si>
  <si>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</si>
  <si>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</si>
  <si>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</si>
  <si>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</si>
  <si>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</si>
  <si>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</si>
  <si>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</si>
  <si>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</si>
  <si>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</si>
  <si>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</si>
  <si>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08458</t>
  </si>
  <si>
    <t>銀行の支店、損害保険代理店、宅地建物取引業を営む店舗その他これらに類するサービス業を営む店舗</t>
  </si>
  <si>
    <t>飲食店（次項に掲げるもの並びに田園住居地域及びその周辺の地域で生産された農産物を材料とする料理の提供を主たる目的とするものを除く。）</t>
  </si>
  <si>
    <t>08460</t>
  </si>
  <si>
    <t xml:space="preserve">物品販売業を営む店舗以外の店舗（前2項に掲げるものを除く。） </t>
  </si>
  <si>
    <t>08470</t>
  </si>
  <si>
    <t>事務所</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</si>
  <si>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</si>
  <si>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08480</t>
  </si>
  <si>
    <t>映画スタジオ又はテレビスタジオ</t>
  </si>
  <si>
    <t>08490</t>
  </si>
  <si>
    <t>自動車車庫</t>
  </si>
  <si>
    <t>物品販売業を営む店舗以外の店舗（前２項に掲げるものを除く。）</t>
  </si>
  <si>
    <t>08500</t>
  </si>
  <si>
    <t>自転車駐輪場</t>
  </si>
  <si>
    <t>08510</t>
  </si>
  <si>
    <t>倉庫業を営む倉庫</t>
  </si>
  <si>
    <t>08520</t>
  </si>
  <si>
    <t>倉庫業を営まない倉庫</t>
  </si>
  <si>
    <t>08530</t>
  </si>
  <si>
    <t>劇場、映画館又は演芸場</t>
  </si>
  <si>
    <t>自転車駐車場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</si>
  <si>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</si>
  <si>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</si>
  <si>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</si>
  <si>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</si>
  <si>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</si>
  <si>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</si>
  <si>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</si>
  <si>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</si>
  <si>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</si>
  <si>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</si>
  <si>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</si>
  <si>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</si>
  <si>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</si>
  <si>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</si>
  <si>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</si>
  <si>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</si>
  <si>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</si>
  <si>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</si>
  <si>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</si>
  <si>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</si>
  <si>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08630</t>
  </si>
  <si>
    <t>農産物の生産、集荷、処理又は貯蔵に供するもの</t>
  </si>
  <si>
    <t>08640</t>
  </si>
  <si>
    <t>農業の生産資材の貯蔵に供するもの</t>
  </si>
  <si>
    <t>08650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</si>
  <si>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</si>
  <si>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トップ</t>
  </si>
  <si>
    <t>老人ホーム、身体障害者福祉ホームその他これらに類するもの</t>
  </si>
  <si>
    <t>児童福祉施設等</t>
  </si>
  <si>
    <t>郵便法の規定により行う郵便の業務の用に供する施設</t>
  </si>
  <si>
    <t>建築基準法施行令第130条の4第5号に基づき建設大臣が指定する施設</t>
  </si>
  <si>
    <t>体育館又はスポーツの練習場</t>
  </si>
  <si>
    <t>百貨店、マーケットその他の物品販売業を営む店舗</t>
  </si>
  <si>
    <t>飲食店</t>
  </si>
  <si>
    <t>理髪店、美容院、クリーニング取次店、質屋、貸衣装屋、貸本屋その他これらに類するサービス業を営む店舗、洋服店、畳屋、建具屋、自転車店等</t>
  </si>
  <si>
    <t>銀行の支店、損害保険代理店、宅地建物取引業を営む店舗そのたこれらに類するサービス業を営む店舗</t>
  </si>
  <si>
    <t>物品販売業を営む店舗以外の店舗</t>
  </si>
  <si>
    <t>個室付浴場に係る公衆浴場、ヌードスタジオ、のぞき劇場、ストリップ劇場、専ら異性を同伴する客の休憩の用に供する施設、専ら性的好奇心をそそる写真その他の物品の販売を目的とする店舗その他これらに類するもの</t>
  </si>
  <si>
    <t>□</t>
  </si>
  <si>
    <t xml:space="preserve">    )</t>
  </si>
  <si>
    <t>第1種低層住居専用</t>
  </si>
  <si>
    <t>確</t>
  </si>
  <si>
    <t>建</t>
  </si>
  <si>
    <t>神奈川県</t>
  </si>
  <si>
    <t>設計図書一式</t>
  </si>
  <si>
    <t>般-</t>
  </si>
  <si>
    <t>■</t>
  </si>
  <si>
    <t>道路境界1ｍ）</t>
  </si>
  <si>
    <t>第2種低層住居専用</t>
  </si>
  <si>
    <t>開発許可：</t>
  </si>
  <si>
    <t>基礎配筋完了時</t>
  </si>
  <si>
    <t>（平成</t>
  </si>
  <si>
    <t>●</t>
  </si>
  <si>
    <t>変</t>
  </si>
  <si>
    <t>昇</t>
  </si>
  <si>
    <t>号</t>
  </si>
  <si>
    <t>１級</t>
  </si>
  <si>
    <t>東京都</t>
  </si>
  <si>
    <t>設計図書一式（構造設計図書を除く）</t>
  </si>
  <si>
    <t>特-</t>
  </si>
  <si>
    <t>敷地境界1ｍ）</t>
  </si>
  <si>
    <t>第1種中高層住居専用</t>
  </si>
  <si>
    <t>開発変更許可：</t>
  </si>
  <si>
    <t>全軸組緊結完了時</t>
  </si>
  <si>
    <t>（昭和</t>
  </si>
  <si>
    <t>工</t>
  </si>
  <si>
    <t>２級</t>
  </si>
  <si>
    <t>設計図書一式（構造計算書を除く）</t>
  </si>
  <si>
    <t>道路側を除く敷地境界 1ｍ）</t>
  </si>
  <si>
    <t>第2種中高層住居専用</t>
  </si>
  <si>
    <t>開発検査済：　</t>
  </si>
  <si>
    <t>小屋組完了時</t>
  </si>
  <si>
    <t>構造設計図書一式</t>
  </si>
  <si>
    <t>第1種住居</t>
  </si>
  <si>
    <t>開発完了公告：</t>
  </si>
  <si>
    <t>屋根工事</t>
  </si>
  <si>
    <t>構造計算書一式</t>
  </si>
  <si>
    <t>第2種住居</t>
  </si>
  <si>
    <t>宅地造成に関する工事許可：</t>
  </si>
  <si>
    <t>１階を含む鉄骨建方工事</t>
  </si>
  <si>
    <t>準住居</t>
  </si>
  <si>
    <t>変更許可：</t>
  </si>
  <si>
    <t>２階の床及びこれを支持するはりに鉄筋を配置する工事の工程</t>
  </si>
  <si>
    <t>近隣商業</t>
  </si>
  <si>
    <t>宅造検査済：　</t>
  </si>
  <si>
    <t>屋根の小屋組工事及び構造耐力上主要な軸組の工事</t>
  </si>
  <si>
    <t>商業</t>
  </si>
  <si>
    <t>位置指定道路：</t>
  </si>
  <si>
    <t>屋根の小屋組工事及び構造耐力上主要な耐力壁の工事</t>
  </si>
  <si>
    <t>準工業</t>
  </si>
  <si>
    <t>公告：</t>
  </si>
  <si>
    <t>屋根版の配筋工事</t>
  </si>
  <si>
    <t>工業</t>
  </si>
  <si>
    <t>急傾斜地崩壊危険区域の許可：</t>
  </si>
  <si>
    <t>基礎の配筋工事</t>
  </si>
  <si>
    <t>工業専用</t>
  </si>
  <si>
    <t>法第43条ただし書き許可：</t>
  </si>
  <si>
    <t>鉄骨部の部分において初めて工事を施工する階の建方工事</t>
  </si>
  <si>
    <t>法第53条の2第1項第3号の許可</t>
  </si>
  <si>
    <t>狭あい道路協議済：</t>
  </si>
  <si>
    <t>地区計画：</t>
  </si>
  <si>
    <t>風致地区：</t>
  </si>
  <si>
    <t>都市計画法第43条許可：</t>
  </si>
  <si>
    <t>都市計画法第53条許可：</t>
  </si>
  <si>
    <t>災害危険区域：</t>
  </si>
  <si>
    <t>川崎市条例第6条第2項ただし書き許可：</t>
  </si>
  <si>
    <t>　</t>
  </si>
  <si>
    <t>ＡＫＣ様式５</t>
  </si>
  <si>
    <t>第愛建　    建築確認　　　　号</t>
  </si>
  <si>
    <t>第三号様式（第一条の三、第三条、第三条の三、第三条の四、第三条の七、第三条の十、第六条の三、
第十一条の三関係）（Ａ４）</t>
  </si>
  <si>
    <t>建 築 計 画 概 要 書  （第一面）</t>
  </si>
  <si>
    <t>建築主等の概要</t>
  </si>
  <si>
    <t>【1.建築主】</t>
  </si>
  <si>
    <t>【ｲ.氏名のﾌﾘｶﾞﾅ】</t>
  </si>
  <si>
    <t>【ﾛ.氏　　　名】</t>
  </si>
  <si>
    <t>【ﾆ.住　　　所】</t>
  </si>
  <si>
    <t>【2.代理者】</t>
  </si>
  <si>
    <t>【ｲ.資　　　格】</t>
  </si>
  <si>
    <t>（</t>
  </si>
  <si>
    <t>）</t>
  </si>
  <si>
    <t>建築士</t>
  </si>
  <si>
    <t>登録第</t>
  </si>
  <si>
    <t>【ﾊ.建築士事務所名】</t>
  </si>
  <si>
    <t>建築士事務所</t>
  </si>
  <si>
    <t>）知事登録第</t>
  </si>
  <si>
    <t>【ﾆ.郵便番号】</t>
  </si>
  <si>
    <t>【ﾎ.所 在 地】</t>
  </si>
  <si>
    <t>【ﾍ.電話番号】</t>
  </si>
  <si>
    <t>【3.設計者】</t>
  </si>
  <si>
    <t>　　（代表となる設計者）</t>
  </si>
  <si>
    <t>【ﾄ.作成又は確認した設計図書】</t>
  </si>
  <si>
    <t>　　（その他の設計者）</t>
  </si>
  <si>
    <t>　（構造設計一級建築士又は設備設計一級建築士である旨の表示をした者）</t>
  </si>
  <si>
    <t>　上記の設計者のうち、</t>
  </si>
  <si>
    <t>□建築士法第20条の２第１項の表示をした者</t>
  </si>
  <si>
    <t>【ｲ.氏　　　名】</t>
  </si>
  <si>
    <t>【ﾛ.資　　　格】</t>
  </si>
  <si>
    <t>構造設計一級建築士交付第</t>
  </si>
  <si>
    <t>□建築士法第20条の２第３項の表示をした者</t>
  </si>
  <si>
    <t>□建築士法第20条の３第１項の表示をした者</t>
  </si>
  <si>
    <t>設備設計一級建築士交付第</t>
  </si>
  <si>
    <t>□建築士法第20条の３第３項の表示をした者</t>
  </si>
  <si>
    <t>　　（代表となる建築設備の設計に関し意見を聴いた者）</t>
  </si>
  <si>
    <r>
      <t xml:space="preserve">【ﾛ.勤 </t>
    </r>
    <r>
      <rPr>
        <sz val="6"/>
        <color theme="1"/>
        <rFont val="ＭＳ Ｐ明朝"/>
        <charset val="128"/>
      </rPr>
      <t xml:space="preserve"> </t>
    </r>
    <r>
      <rPr>
        <sz val="9"/>
        <color theme="1"/>
        <rFont val="ＭＳ Ｐ明朝"/>
        <charset val="128"/>
      </rPr>
      <t xml:space="preserve">務 </t>
    </r>
    <r>
      <rPr>
        <sz val="6"/>
        <color theme="1"/>
        <rFont val="ＭＳ Ｐ明朝"/>
        <charset val="128"/>
      </rPr>
      <t xml:space="preserve"> </t>
    </r>
    <r>
      <rPr>
        <sz val="9"/>
        <color theme="1"/>
        <rFont val="ＭＳ Ｐ明朝"/>
        <charset val="128"/>
      </rPr>
      <t>先】</t>
    </r>
  </si>
  <si>
    <t>【ﾆ.所 在 地】</t>
  </si>
  <si>
    <t>　　（その他の建築設備の設計に関し意見を聴いた者）</t>
  </si>
  <si>
    <t>【5.工事監理者】</t>
  </si>
  <si>
    <t>　　（代表となる工事監理者）</t>
  </si>
  <si>
    <t>知事登録第</t>
  </si>
  <si>
    <t>【ﾄ.工事と照合する設計図書】</t>
  </si>
  <si>
    <t>　　（その他の工事監理者）</t>
  </si>
  <si>
    <t>【6.工事施工者】</t>
  </si>
  <si>
    <t>【ﾛ.営業所名】</t>
  </si>
  <si>
    <t>第</t>
  </si>
  <si>
    <t>【7.備　　　　考】</t>
  </si>
  <si>
    <t>建築物の名称</t>
  </si>
  <si>
    <r>
      <t>建築計画概要書</t>
    </r>
    <r>
      <rPr>
        <sz val="10"/>
        <color theme="1"/>
        <rFont val="ＭＳ Ｐ明朝"/>
        <charset val="128"/>
      </rPr>
      <t>　（第二面）</t>
    </r>
  </si>
  <si>
    <t>建築物及びその敷地に関する事項</t>
  </si>
  <si>
    <t>【1.地名地番】</t>
  </si>
  <si>
    <t>【2.住居表示】</t>
  </si>
  <si>
    <t>【3.都市計画区域及び準都市計画区域の内外の別等】</t>
  </si>
  <si>
    <t xml:space="preserve">準都市計画区域内 </t>
  </si>
  <si>
    <t>都市計画区域及び準都市計画区域外</t>
  </si>
  <si>
    <t>【4.防火地域】</t>
  </si>
  <si>
    <t>【5.その他の区域、地域、地区又は街区】</t>
  </si>
  <si>
    <t>【6.道　　　路】</t>
  </si>
  <si>
    <t>【ｲ.幅　　　員】</t>
  </si>
  <si>
    <t>ｍ</t>
  </si>
  <si>
    <t>【ﾛ.敷地と接している部分の長さ】</t>
  </si>
  <si>
    <t>【7.敷地面積】</t>
  </si>
  <si>
    <t>【ｲ.敷地面積】</t>
  </si>
  <si>
    <t>(1)</t>
  </si>
  <si>
    <t>㎡</t>
  </si>
  <si>
    <t>）　（</t>
  </si>
  <si>
    <t>(2)</t>
  </si>
  <si>
    <t>【ﾛ.用途地域等】</t>
  </si>
  <si>
    <t>【ﾊ.建築基準法第 52 条第 1 項及び第 2 項の規定による建築物の容積率】</t>
  </si>
  <si>
    <t>％</t>
  </si>
  <si>
    <t>【ﾆ.建築基準法第 53 条第 1 項の規定による建築物の建蔽率】</t>
  </si>
  <si>
    <t>【ﾎ.敷地面積の合計】</t>
  </si>
  <si>
    <t>【ﾍ.敷地に建築可能な延べ面積を敷地面積で除した数値】</t>
  </si>
  <si>
    <t>【ﾄ.敷地に建築可能な建築面積を敷地面積で除した数値】</t>
  </si>
  <si>
    <t>【ﾁ.備　　考】</t>
  </si>
  <si>
    <t>【8.主要用途】</t>
  </si>
  <si>
    <t>（区分</t>
  </si>
  <si>
    <t>【9.工事種別】</t>
  </si>
  <si>
    <t>【10.建築面積】</t>
  </si>
  <si>
    <t>【ｲ.建築物全体】</t>
  </si>
  <si>
    <t>【ﾛ.建蔽率の算定の基礎となる建築面積】</t>
  </si>
  <si>
    <t>【ﾊ.建蔽率】</t>
  </si>
  <si>
    <t>【11.延べ面積】</t>
  </si>
  <si>
    <t>【ﾛ.地階の住宅又は老人ホーム等の部分】</t>
  </si>
  <si>
    <r>
      <t>【ﾊ.</t>
    </r>
    <r>
      <rPr>
        <sz val="8"/>
        <color theme="1"/>
        <rFont val="ＭＳ Ｐ明朝"/>
        <charset val="128"/>
      </rPr>
      <t>エレベーターの昇降路の部分</t>
    </r>
    <r>
      <rPr>
        <sz val="9"/>
        <color theme="1"/>
        <rFont val="ＭＳ Ｐ明朝"/>
        <charset val="128"/>
      </rPr>
      <t>】</t>
    </r>
  </si>
  <si>
    <t>【ﾆ.共同住宅又は老人ホーム等の共用の廊下等の部分】</t>
  </si>
  <si>
    <t>【ﾎ.認定機械室等の部分】</t>
  </si>
  <si>
    <t>【ﾍ.自動車車庫等の部分】</t>
  </si>
  <si>
    <t>【ﾄ.備蓄倉庫の部分】</t>
  </si>
  <si>
    <t>【ﾁ.蓄電池の設置部分】</t>
  </si>
  <si>
    <t>【ﾘ.自家発電設備の設置部分】</t>
  </si>
  <si>
    <t>【ﾇ.貯水槽の設置部分】</t>
  </si>
  <si>
    <t>【ﾙ.宅配ボックスの設置部分】</t>
  </si>
  <si>
    <t>【ｦ.その他の不算入部分】</t>
  </si>
  <si>
    <t>【ﾜ.住宅の部分】</t>
  </si>
  <si>
    <t>【ｶ.老人ホーム等の部分】</t>
  </si>
  <si>
    <t>【ﾖ.延べ面積】</t>
  </si>
  <si>
    <t>【ﾀ.容積率】</t>
  </si>
  <si>
    <t>【12.建築物の数】</t>
  </si>
  <si>
    <t>【ｲ.申請に係る建築物の数】</t>
  </si>
  <si>
    <t>【ﾛ.同一敷地内の他の建築物の数】</t>
  </si>
  <si>
    <t>【13.建築物の高さ等】</t>
  </si>
  <si>
    <t>【ｲ.最高の高さ】</t>
  </si>
  <si>
    <t>【ﾛ.階　　　数】</t>
  </si>
  <si>
    <t>地上</t>
  </si>
  <si>
    <t>階</t>
  </si>
  <si>
    <t>地下</t>
  </si>
  <si>
    <t>【ﾊ.構　　　造】</t>
  </si>
  <si>
    <t>【ﾆ.建築基準法第 56 条第 7 項の規定による特例の適用の有無】</t>
  </si>
  <si>
    <t>有</t>
  </si>
  <si>
    <t>無</t>
  </si>
  <si>
    <t>【ﾎ.適用があるときは、特例の区分】</t>
  </si>
  <si>
    <t xml:space="preserve">道路高さ制限不適用 </t>
  </si>
  <si>
    <t>【14.許可・認定等】</t>
  </si>
  <si>
    <t>【15.工事着手予定年月日】</t>
  </si>
  <si>
    <t>【16.工事完了予定年月日】</t>
  </si>
  <si>
    <t>【17.特定工程工事終了予定年月日】</t>
  </si>
  <si>
    <t>（第</t>
  </si>
  <si>
    <t>回）</t>
  </si>
  <si>
    <t>【18.建築基準法第12条第１項の規定による調査の要否】</t>
  </si>
  <si>
    <t>要</t>
  </si>
  <si>
    <t>否</t>
  </si>
  <si>
    <t>【19.建築基準法第12条第３項の規定による検査を要する防火設備の有無】</t>
  </si>
  <si>
    <t>【20.その他必要な事項】</t>
  </si>
  <si>
    <t>【21.備考】</t>
  </si>
  <si>
    <t>【ｲ.建築面積】</t>
  </si>
  <si>
    <t>【ﾛ.建蔽率】</t>
  </si>
  <si>
    <r>
      <t>【ﾆ.</t>
    </r>
    <r>
      <rPr>
        <sz val="8"/>
        <color theme="1"/>
        <rFont val="ＭＳ Ｐ明朝"/>
        <charset val="128"/>
      </rPr>
      <t>共同住宅又は老人ホーム等の共用の廊下等の部分</t>
    </r>
    <r>
      <rPr>
        <sz val="9"/>
        <color theme="1"/>
        <rFont val="ＭＳ Ｐ明朝"/>
        <charset val="128"/>
      </rPr>
      <t>】</t>
    </r>
  </si>
  <si>
    <r>
      <t>【ﾎ.</t>
    </r>
    <r>
      <rPr>
        <sz val="9"/>
        <color theme="1"/>
        <rFont val="ＭＳ Ｐ明朝"/>
        <charset val="128"/>
      </rPr>
      <t>自動車車庫等の部分】</t>
    </r>
  </si>
  <si>
    <t>【ﾍ.備蓄倉庫の部分】</t>
  </si>
  <si>
    <t>【ﾄ．蓄電池の設置部分】</t>
  </si>
  <si>
    <t>【ﾁ.自家発電設備の設置部分】</t>
  </si>
  <si>
    <t>【ﾘ.貯水槽の設置部分】</t>
  </si>
  <si>
    <t>【ﾇ.宅配ボックスの設置部分】</t>
  </si>
  <si>
    <t>【ﾙ.住宅の部分】</t>
  </si>
  <si>
    <t>【ｦ.老人ホーム等の部分】</t>
  </si>
  <si>
    <t>【ﾜ.延べ面積】　</t>
  </si>
  <si>
    <t>【ｶ.容積率】</t>
  </si>
  <si>
    <t>【18.その他必要な事項】</t>
  </si>
  <si>
    <t>【19.備考】</t>
  </si>
  <si>
    <t>第四十号様式（第八条関係）（Ａ４）</t>
  </si>
  <si>
    <t>建築基準法第15条第1項の規定による</t>
  </si>
  <si>
    <t>建 築 工 事 届</t>
  </si>
  <si>
    <t>（第一面）</t>
  </si>
  <si>
    <t>年</t>
  </si>
  <si>
    <t>月</t>
  </si>
  <si>
    <t>日</t>
  </si>
  <si>
    <t>愛知県</t>
  </si>
  <si>
    <t>知事　様</t>
  </si>
  <si>
    <t>工事施工者（設計者又は代理者）</t>
  </si>
  <si>
    <t>営業所名（建築士事務所名）</t>
  </si>
  <si>
    <t>工事監理者</t>
  </si>
  <si>
    <t>建築確認</t>
  </si>
  <si>
    <t xml:space="preserve"> </t>
  </si>
  <si>
    <t>愛建　　建築確認</t>
  </si>
  <si>
    <t>確認済証交付年月日</t>
  </si>
  <si>
    <t>除却工事施工者</t>
  </si>
  <si>
    <t>※受付経由機関記載欄</t>
  </si>
  <si>
    <t>（第二面）</t>
  </si>
  <si>
    <t>【1.着工及び工事完了の予定期日】</t>
  </si>
  <si>
    <t>【イ.着工予定期日】</t>
  </si>
  <si>
    <t>【ロ.工事完了予定期日】</t>
  </si>
  <si>
    <t>【2.建築主】</t>
  </si>
  <si>
    <t>【イ.建築主の種別】</t>
  </si>
  <si>
    <t>(1) 国</t>
  </si>
  <si>
    <t>(2) 都道府県</t>
  </si>
  <si>
    <t>(3) 市区町村</t>
  </si>
  <si>
    <t>(4) 会社</t>
  </si>
  <si>
    <t>(5) 会社でない団体</t>
  </si>
  <si>
    <t>(6) 個人</t>
  </si>
  <si>
    <t>【ロ.資本の額又は出資の総額】</t>
  </si>
  <si>
    <t>(1)1,000万円以下</t>
  </si>
  <si>
    <t>(2)1,000万円超～3,000万円以下</t>
  </si>
  <si>
    <t>(3)3,000万円超～1億円以下</t>
  </si>
  <si>
    <t>(4)1億円超～10億円以下</t>
  </si>
  <si>
    <t>(5)10億円超</t>
  </si>
  <si>
    <t>【3.敷地の位置】</t>
  </si>
  <si>
    <t>【イ.地名地番】</t>
  </si>
  <si>
    <t>【ロ.都市計画】</t>
  </si>
  <si>
    <t>(1) 市街化区域</t>
  </si>
  <si>
    <t>(2) 市街化調整区域</t>
  </si>
  <si>
    <t>(3) 区域区分非設定都市計画区域</t>
  </si>
  <si>
    <t>(4) 準都市計画区域</t>
  </si>
  <si>
    <t>(5) 都市計画区域及び準都市計画区域外</t>
  </si>
  <si>
    <t>【4.工事種別】</t>
  </si>
  <si>
    <t>(1) 新築</t>
  </si>
  <si>
    <t>(2) 増築</t>
  </si>
  <si>
    <t>(3) 改築</t>
  </si>
  <si>
    <t>(4) 移転</t>
  </si>
  <si>
    <t>【5.主要用途】</t>
  </si>
  <si>
    <t>(1) 居住専用建築物</t>
  </si>
  <si>
    <t>(2) 居住産業併用建築物</t>
  </si>
  <si>
    <t>(3) 産業専用建築物</t>
  </si>
  <si>
    <t>【6.一の建築物ごとの内容】</t>
  </si>
  <si>
    <t>【イ.番号】</t>
  </si>
  <si>
    <t>)</t>
  </si>
  <si>
    <t>【ロ.用途】</t>
  </si>
  <si>
    <t>物品販売業を営</t>
  </si>
  <si>
    <t>む店舗等</t>
  </si>
  <si>
    <t>(3)</t>
  </si>
  <si>
    <t>(4)</t>
  </si>
  <si>
    <t>(5)</t>
  </si>
  <si>
    <t>(6)</t>
  </si>
  <si>
    <t>(9)</t>
  </si>
  <si>
    <t>多用途</t>
  </si>
  <si>
    <t>【ハ.工事部分の構造】</t>
  </si>
  <si>
    <t>鉄骨鉄筋コンク</t>
  </si>
  <si>
    <t>リート造</t>
  </si>
  <si>
    <t>鉄筋コンクリー</t>
  </si>
  <si>
    <t>ト造</t>
  </si>
  <si>
    <t>コンクリートブ</t>
  </si>
  <si>
    <t>ロック造</t>
  </si>
  <si>
    <t>【ニ．工事の予定期間】</t>
  </si>
  <si>
    <t>月間)</t>
  </si>
  <si>
    <t>【ホ.工事部分の</t>
  </si>
  <si>
    <t>　床面積の合計】</t>
  </si>
  <si>
    <t>【ヘ.建築工事費予定額】</t>
  </si>
  <si>
    <t>万円)</t>
  </si>
  <si>
    <t>【ト.新築工事の場合における地上の階数】</t>
  </si>
  <si>
    <t>【チ.新築工事の場合における地下の階数】</t>
  </si>
  <si>
    <t>【７．新築工事の場合における敷地面積】</t>
  </si>
  <si>
    <t>（第三面）</t>
  </si>
  <si>
    <t>【1.住宅部分の概要】</t>
  </si>
  <si>
    <t>【ロ.新設又はその他の別】</t>
  </si>
  <si>
    <t>(1)新設</t>
  </si>
  <si>
    <t>(2)その他</t>
  </si>
  <si>
    <t>【ハ.新設住宅の資金】</t>
  </si>
  <si>
    <t>(1)民間資金住宅</t>
  </si>
  <si>
    <t>(2)公営住宅</t>
  </si>
  <si>
    <t>(3)住宅金融支援機構住宅</t>
  </si>
  <si>
    <t>(4)都市再生機構住宅</t>
  </si>
  <si>
    <t>(5)その他</t>
  </si>
  <si>
    <t>【ニ.住宅の建築工法】</t>
  </si>
  <si>
    <t>(1) 在来工法</t>
  </si>
  <si>
    <t>(2) プレハブ工法</t>
  </si>
  <si>
    <t>(3) 枠組壁工法</t>
  </si>
  <si>
    <t>【ホ.住宅の種類】</t>
  </si>
  <si>
    <t>(1) 専用住宅</t>
  </si>
  <si>
    <t>(2) 併用住宅</t>
  </si>
  <si>
    <t>(3) その他の住宅</t>
  </si>
  <si>
    <t>【ヘ.住宅の建て方】</t>
  </si>
  <si>
    <t>(1)一戸建住宅</t>
  </si>
  <si>
    <t>(2)長屋建住宅</t>
  </si>
  <si>
    <t>(3)共同住宅</t>
  </si>
  <si>
    <t>【ト.利用関係】</t>
  </si>
  <si>
    <t>(1)持家</t>
  </si>
  <si>
    <t>(2)貸家</t>
  </si>
  <si>
    <t>(3)給与住宅</t>
  </si>
  <si>
    <t>(4)分譲住宅</t>
  </si>
  <si>
    <t>【チ.住宅の戸数】</t>
  </si>
  <si>
    <t xml:space="preserve">)( </t>
  </si>
  <si>
    <t>【リ.工事部分の</t>
  </si>
  <si>
    <t xml:space="preserve"> 床面積の合計】</t>
  </si>
  <si>
    <t>（第四面）</t>
  </si>
  <si>
    <t>【1.主要用途】</t>
  </si>
  <si>
    <t>【2.除却原因】</t>
  </si>
  <si>
    <t>(1) 老朽して危険があるため</t>
  </si>
  <si>
    <t>(2) その他</t>
  </si>
  <si>
    <t>【3.構造】</t>
  </si>
  <si>
    <t>(1) 木造</t>
  </si>
  <si>
    <t>【4.建築物の数】</t>
  </si>
  <si>
    <t>【5.住宅の戸数】</t>
  </si>
  <si>
    <t>戸</t>
  </si>
  <si>
    <t>【6.住宅の利用関係】</t>
  </si>
  <si>
    <t>(1) 持家</t>
  </si>
  <si>
    <t>(2) 貸家</t>
  </si>
  <si>
    <t>(3) 給与住宅</t>
  </si>
  <si>
    <t>【7.建築物の床面積の合計】</t>
  </si>
  <si>
    <t>【8.建築物の評価額】</t>
  </si>
  <si>
    <t>千円</t>
  </si>
  <si>
    <t>建築基準法第15条第１項の規定による</t>
  </si>
  <si>
    <t>　　建築主</t>
  </si>
  <si>
    <t>　　工事施工者（設計者又は代理者）</t>
  </si>
  <si>
    <t>担当者の氏名</t>
  </si>
  <si>
    <t>担当者の電話番号</t>
  </si>
  <si>
    <t>-</t>
  </si>
  <si>
    <t>　　工事監理者</t>
  </si>
  <si>
    <t>　　建築確認</t>
  </si>
  <si>
    <t>　　除却工事施工者</t>
  </si>
  <si>
    <t xml:space="preserve"> 　※受付経由機関記載欄</t>
  </si>
  <si>
    <t>【１．着工及び工事完了の予定期日】</t>
  </si>
  <si>
    <t>イ．着工予定期日</t>
  </si>
  <si>
    <t>ロ．工事完了予定期日</t>
  </si>
  <si>
    <t>【２．建築主】</t>
  </si>
  <si>
    <t>イ．建築主の種別</t>
  </si>
  <si>
    <t>(1)国</t>
  </si>
  <si>
    <t>(2)都道府県</t>
  </si>
  <si>
    <t>(3)市区町村</t>
  </si>
  <si>
    <t>(4)会社</t>
  </si>
  <si>
    <t>(5)会社でない団体</t>
  </si>
  <si>
    <t>(6)個人</t>
  </si>
  <si>
    <t>ロ．資本の額又は
    出資の総額</t>
  </si>
  <si>
    <t>【３．敷地の位置】</t>
  </si>
  <si>
    <t>イ．地名地番</t>
  </si>
  <si>
    <t>ロ．都市計画</t>
  </si>
  <si>
    <t>(1)市街化区域</t>
  </si>
  <si>
    <t>(2)市街化調整区域</t>
  </si>
  <si>
    <t>(3)区域区分非設定都市計画区域</t>
  </si>
  <si>
    <t>(4)準都市計画区域</t>
  </si>
  <si>
    <t>(5)都市計画区域及び準都市計画区域外</t>
  </si>
  <si>
    <t>【４．工事種別】</t>
  </si>
  <si>
    <t>(1)新築</t>
  </si>
  <si>
    <t>(2)増築</t>
  </si>
  <si>
    <t>(3)改築</t>
  </si>
  <si>
    <t>(4)移転</t>
  </si>
  <si>
    <t>【５．主要用途】</t>
  </si>
  <si>
    <t>（注意欄に記載の記号を記入してください）</t>
  </si>
  <si>
    <t>【６．一の建築物ごとの内容】</t>
  </si>
  <si>
    <t>イ．番号</t>
  </si>
  <si>
    <t>ロ．物件名</t>
  </si>
  <si>
    <r>
      <t xml:space="preserve">ハ．用途
</t>
    </r>
    <r>
      <rPr>
        <sz val="9"/>
        <color theme="1"/>
        <rFont val="ＭＳ 明朝"/>
        <charset val="128"/>
      </rPr>
      <t>（注意欄に記載の記号を
　記入してください）</t>
    </r>
  </si>
  <si>
    <r>
      <t xml:space="preserve">ニ．工事部分の構造
</t>
    </r>
    <r>
      <rPr>
        <sz val="9"/>
        <color theme="1"/>
        <rFont val="ＭＳ 明朝"/>
        <charset val="128"/>
      </rPr>
      <t>（注意欄に記載の記号を
　記入してください）</t>
    </r>
  </si>
  <si>
    <t>ホ．工事の予定期間</t>
  </si>
  <si>
    <t>月間</t>
  </si>
  <si>
    <t>ヘ．工事部分の
　　  床面積の合計</t>
  </si>
  <si>
    <r>
      <t xml:space="preserve">ト．用途ごとの工事部
　　分の床面積
</t>
    </r>
    <r>
      <rPr>
        <sz val="9"/>
        <color theme="1"/>
        <rFont val="ＭＳ 明朝"/>
        <charset val="128"/>
      </rPr>
      <t>（工事部分の用途が１種類
　のみであり、ハの用途と
　同一である場合は、記入
　不要です。）</t>
    </r>
  </si>
  <si>
    <t>①</t>
  </si>
  <si>
    <t>床面積</t>
  </si>
  <si>
    <t>②</t>
  </si>
  <si>
    <t>③</t>
  </si>
  <si>
    <t>チ．建築工事費予定額</t>
  </si>
  <si>
    <t>万円</t>
  </si>
  <si>
    <t>消費税込み</t>
  </si>
  <si>
    <t>リ．新築工事の場合に
　　おける地上の階数</t>
  </si>
  <si>
    <t>ヌ．新築工事の場合に
　　おける地下の階数</t>
  </si>
  <si>
    <t>【１．住宅部分の概要】</t>
  </si>
  <si>
    <t>ロ．新設又は
　　　その他の別</t>
  </si>
  <si>
    <t>ハ．新設住宅の資金</t>
  </si>
  <si>
    <t>ニ．住宅の建築工法</t>
  </si>
  <si>
    <t>(1)在来工法</t>
  </si>
  <si>
    <t>(2)プレハブ工法</t>
  </si>
  <si>
    <t>(3)枠組壁工法</t>
  </si>
  <si>
    <t>ホ．住宅の種類</t>
  </si>
  <si>
    <t>(1)専用住宅</t>
  </si>
  <si>
    <t>(2)併用住宅</t>
  </si>
  <si>
    <t>(3)その他の住宅</t>
  </si>
  <si>
    <t>ヘ．住宅の建て方</t>
  </si>
  <si>
    <t>ト．利用関係</t>
  </si>
  <si>
    <t>(1)持家　</t>
  </si>
  <si>
    <t>(2)貸家　　</t>
  </si>
  <si>
    <t>チ．住宅の戸数</t>
  </si>
  <si>
    <t>リ．工事部分の
　　床面積の合計</t>
  </si>
  <si>
    <t>【２．除却建築物の概要】</t>
  </si>
  <si>
    <t>　イ．産業分類</t>
  </si>
  <si>
    <t>イ．主要用途</t>
  </si>
  <si>
    <t xml:space="preserve">  ロ．除却原因</t>
  </si>
  <si>
    <t>ロ．除却原因</t>
  </si>
  <si>
    <t>(1)老朽して危険があるため</t>
  </si>
  <si>
    <t>　ハ．構造</t>
  </si>
  <si>
    <t>ハ．構造</t>
  </si>
  <si>
    <t>(1)木造</t>
  </si>
  <si>
    <t>　ニ．建築物の数</t>
  </si>
  <si>
    <t>ニ．建築物の数</t>
  </si>
  <si>
    <t>棟</t>
  </si>
  <si>
    <t>　ホ．住宅の戸数</t>
  </si>
  <si>
    <t>ホ．住宅の戸数</t>
  </si>
  <si>
    <t>　チ．住宅の利用関係</t>
  </si>
  <si>
    <t>ヘ．住宅の利用関係</t>
  </si>
  <si>
    <t>ト．建築物の床面積の合計</t>
  </si>
  <si>
    <t>　ヌ．建築物の評価額</t>
  </si>
  <si>
    <t>チ．建築物の評価額</t>
  </si>
  <si>
    <t>工事監理の状況</t>
  </si>
  <si>
    <t>確認を行った部位、材料の種類等</t>
  </si>
  <si>
    <t>照合内容</t>
  </si>
  <si>
    <t>照合を行った設計図書</t>
  </si>
  <si>
    <t>設計図書の内容について設計者に確認した事項</t>
  </si>
  <si>
    <t>照合方法</t>
  </si>
  <si>
    <t>照合結果
（不適の場合には建築主に対して行った報告の内容）</t>
  </si>
  <si>
    <t>敷地の形状、高さ、衛生及び安全</t>
  </si>
  <si>
    <t>□   適 
□ 不適</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</si>
  <si>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</si>
  <si>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</si>
  <si>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</si>
  <si>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</si>
  <si>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特定天井に用いる材料の種類並びに当該特定天井の構造及び施工状況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</si>
  <si>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</si>
  <si>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</si>
  <si>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</si>
  <si>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</si>
  <si>
    <t>寝室等の住宅用防災機器</t>
  </si>
  <si>
    <t>備         考</t>
  </si>
  <si>
    <t xml:space="preserve"> 建設地調査書</t>
  </si>
  <si>
    <t xml:space="preserve"> １　建設計画</t>
  </si>
  <si>
    <t xml:space="preserve"> (1)建築主     </t>
  </si>
  <si>
    <t>電話（</t>
  </si>
  <si>
    <t xml:space="preserve"> (2)地名地番   </t>
  </si>
  <si>
    <t xml:space="preserve"> (3)敷地面積   </t>
  </si>
  <si>
    <t>(4)主要用途</t>
  </si>
  <si>
    <t xml:space="preserve"> (5)建築面積</t>
  </si>
  <si>
    <t xml:space="preserve">(6)延べ面積  </t>
  </si>
  <si>
    <t xml:space="preserve">（7)主たる建築物の構造 </t>
  </si>
  <si>
    <t xml:space="preserve"> ２　調査内容</t>
  </si>
  <si>
    <t xml:space="preserve">   (1)道路等確認表</t>
  </si>
  <si>
    <t xml:space="preserve">     ①申請敷地に接する道路</t>
  </si>
  <si>
    <t>区分（</t>
  </si>
  <si>
    <t>国道</t>
  </si>
  <si>
    <t>県道</t>
  </si>
  <si>
    <t>市道</t>
  </si>
  <si>
    <t>町村道</t>
  </si>
  <si>
    <t>私道</t>
  </si>
  <si>
    <t>その他）</t>
  </si>
  <si>
    <t xml:space="preserve">指定年月日： </t>
  </si>
  <si>
    <t>令和　　年　　月　　日</t>
  </si>
  <si>
    <t xml:space="preserve"> 指定番号：</t>
  </si>
  <si>
    <t xml:space="preserve">     ②申請敷地と道路との間に水路等がある場合</t>
  </si>
  <si>
    <t>水路等占有許可</t>
  </si>
  <si>
    <t>・</t>
  </si>
  <si>
    <t xml:space="preserve">       許可年月日：</t>
  </si>
  <si>
    <t xml:space="preserve"> 許可番号：</t>
  </si>
  <si>
    <t>占用幅</t>
  </si>
  <si>
    <t xml:space="preserve">   (2)地域・地区関係確認表</t>
  </si>
  <si>
    <t xml:space="preserve">     ①都市区画区域  </t>
  </si>
  <si>
    <t>内</t>
  </si>
  <si>
    <t>外</t>
  </si>
  <si>
    <t xml:space="preserve"> 市街化区域・</t>
  </si>
  <si>
    <t>市街化調整区域・</t>
  </si>
  <si>
    <t>未線引 ）</t>
  </si>
  <si>
    <t xml:space="preserve">     ②用途区域 </t>
  </si>
  <si>
    <t>地域</t>
  </si>
  <si>
    <t xml:space="preserve">     ③防火区域      </t>
  </si>
  <si>
    <t>防火</t>
  </si>
  <si>
    <t>準防火</t>
  </si>
  <si>
    <t>指定なし）</t>
  </si>
  <si>
    <t xml:space="preserve">     ④災害危険区域  </t>
  </si>
  <si>
    <t xml:space="preserve">     ⑤地区計画      </t>
  </si>
  <si>
    <t xml:space="preserve">     ⑥建築協定区域    </t>
  </si>
  <si>
    <t xml:space="preserve">     ⑦下水道処理区域  </t>
  </si>
  <si>
    <t xml:space="preserve">     ⑧宅造規制区域  </t>
  </si>
  <si>
    <t>許可年月日：</t>
  </si>
  <si>
    <t xml:space="preserve">     ⑨土地区画整理区域 </t>
  </si>
  <si>
    <t xml:space="preserve">     ⑩建築基準関係規定に係る地域・地区                </t>
  </si>
  <si>
    <t xml:space="preserve">   (3)都市計画法関係</t>
  </si>
  <si>
    <t xml:space="preserve">     ①開発・建築許可 </t>
  </si>
  <si>
    <t xml:space="preserve">     ②既存宅地確認(４３条)  </t>
  </si>
  <si>
    <t xml:space="preserve">     ③既存計画施設(５３条) </t>
  </si>
  <si>
    <t xml:space="preserve"> ３　市町村意見欄</t>
  </si>
  <si>
    <t>市町村印欄</t>
  </si>
  <si>
    <t xml:space="preserve">      （  支障有り ・ 支障無し  ）</t>
  </si>
  <si>
    <t>設計者</t>
  </si>
  <si>
    <t>電話</t>
  </si>
  <si>
    <t>（あて先）</t>
  </si>
  <si>
    <t>令和　  年　  月　  日</t>
  </si>
  <si>
    <t>〒</t>
  </si>
  <si>
    <t>建築基準法施行細則第５条第１項の規定に基づき、下記のとおり報告します。</t>
  </si>
  <si>
    <t>記</t>
  </si>
  <si>
    <t>※確認済証番号及び
確認済証交付年月日</t>
  </si>
  <si>
    <t>愛建　     建築確認</t>
  </si>
  <si>
    <t>設 置 場 所</t>
  </si>
  <si>
    <t>設計者の資格、
住所及び氏名
建築士事務所名</t>
  </si>
  <si>
    <t>）建築士</t>
  </si>
  <si>
    <t>）登録第</t>
  </si>
  <si>
    <t>）建築士事務所（</t>
  </si>
  <si>
    <t>浄化槽工事業者
（特例浄化槽工
事業者）の住所、
氏名、登録（届出
受理）番号等</t>
  </si>
  <si>
    <t>愛知県知事（</t>
  </si>
  <si>
    <t>登・届</t>
  </si>
  <si>
    <t>－</t>
  </si>
  <si>
    <t>登録（届出受理）年月日</t>
  </si>
  <si>
    <t>令和　    年   　月　   日</t>
  </si>
  <si>
    <t>浄化槽設備士の
住所、氏名、免状
交付番号等</t>
  </si>
  <si>
    <t>交付年月日</t>
  </si>
  <si>
    <t>浄化槽を設置す
る建物の用途等</t>
  </si>
  <si>
    <t xml:space="preserve"> 用途</t>
  </si>
  <si>
    <t xml:space="preserve">延べ面積又は戸数 </t>
  </si>
  <si>
    <t>平方メートル</t>
  </si>
  <si>
    <t>浄化槽の名称</t>
  </si>
  <si>
    <t>構造方法の区分</t>
  </si>
  <si>
    <t>昭和 55 年建設省告示第 1292 号第 第 号</t>
  </si>
  <si>
    <t>建築基準法第 68 条の 25 に基づく構造方法等の認定</t>
  </si>
  <si>
    <t>認定番号</t>
  </si>
  <si>
    <t>認定日</t>
  </si>
  <si>
    <t>処理方法</t>
  </si>
  <si>
    <t>方式</t>
  </si>
  <si>
    <t>処理能力</t>
  </si>
  <si>
    <t>人槽</t>
  </si>
  <si>
    <t>10　　水　　　質</t>
  </si>
  <si>
    <t>ＢＯＤ 　</t>
  </si>
  <si>
    <t xml:space="preserve">日平均汚水量 </t>
  </si>
  <si>
    <t>立方ﾒｰﾄﾙ/日</t>
  </si>
  <si>
    <t>　mg/ﾘｯﾄﾙ以下</t>
  </si>
  <si>
    <t xml:space="preserve">JIS A 3302 によ
る処理対象人員
算定計算 </t>
  </si>
  <si>
    <t>（処理対象人員</t>
  </si>
  <si>
    <t>人）</t>
  </si>
  <si>
    <t xml:space="preserve"> 放 流 場 所</t>
  </si>
  <si>
    <t>側 溝</t>
  </si>
  <si>
    <t>13　　放流方法</t>
  </si>
  <si>
    <t>自然放流</t>
  </si>
  <si>
    <t>汲上げ放流</t>
  </si>
  <si>
    <t>建築基準法に基
づく型式適合認
定等</t>
  </si>
  <si>
    <t>型式適合認定（法第 68 条の 10）</t>
  </si>
  <si>
    <t>型式部材等製造者の認証（法第 68 条の 11）</t>
  </si>
  <si>
    <t>認定（認証）番号</t>
  </si>
  <si>
    <t>認定（認証）日</t>
  </si>
  <si>
    <t>令和　   年　   月　   日</t>
  </si>
  <si>
    <t>浄化槽法に基づ
く型式認定</t>
  </si>
  <si>
    <t xml:space="preserve"> 認定番号 </t>
  </si>
  <si>
    <t>※印の欄は、記入しないこと。</t>
  </si>
  <si>
    <t>便所及び浄化槽の位置並びに屋外排水管径路を明示した配置図を添付すること。ただし、確認申請図書に記載されている場合は、この限りでない。</t>
  </si>
  <si>
    <t>「14 欄」又は「 15 欄」の認定を取得していない浄化槽の場合は、３の添付図面のほかに各室の容量及び汚水量等の計算書、浄化槽構造詳細図を３部ずつ添付すること。</t>
  </si>
  <si>
    <t>協会返送用</t>
  </si>
  <si>
    <t>浄　化　槽　通　知　書</t>
  </si>
  <si>
    <t>建築主の住所　氏名及び及び電話番号</t>
  </si>
  <si>
    <t>事務局長殿</t>
  </si>
  <si>
    <t>市長殿</t>
  </si>
  <si>
    <t>株式会社　愛知建築センター
代表取締役　鳥居　敏夫</t>
  </si>
  <si>
    <t>㊞</t>
  </si>
  <si>
    <t>建築基準法第９３条第5項の規定に基づき、
下記の通り通知します。</t>
  </si>
  <si>
    <t>便所及び浄化槽の位置並びに屋外排水管径路を明示した配置図を添付するこ と。ただ し、確認申請図書に記載されている場合は、この限りでない。</t>
  </si>
  <si>
    <t>付近見取図</t>
  </si>
  <si>
    <t>配　置　図</t>
  </si>
  <si>
    <t>ＡＫＣ様式41</t>
  </si>
  <si>
    <t>令和　  　年  　　月　　  日</t>
  </si>
  <si>
    <t>下記の浄化槽の工事が完了したので報告します。</t>
  </si>
  <si>
    <t>確認済証番号及び
確認済証交付年月日</t>
  </si>
  <si>
    <t>7　水　　　質</t>
  </si>
  <si>
    <t>完了確認年月日</t>
  </si>
  <si>
    <t>使用開始予定年月日</t>
  </si>
  <si>
    <t>用紙の大きさは日本工業規格Ａ４とする。</t>
  </si>
  <si>
    <t>ＡＫＣ様式２２</t>
  </si>
  <si>
    <t>株式会社愛知建築センター
代表取締役　鳥居　敏夫　様</t>
  </si>
  <si>
    <t>年　　　　月　　　　日</t>
  </si>
  <si>
    <t>※　受付欄</t>
  </si>
  <si>
    <t>※　決裁欄</t>
  </si>
  <si>
    <t>【届出者氏名】</t>
  </si>
  <si>
    <t>【確認済証番号】</t>
  </si>
  <si>
    <t>第愛建</t>
  </si>
  <si>
    <t>建築(確認・変確)</t>
  </si>
  <si>
    <t>【交付年月日】</t>
  </si>
  <si>
    <t>【建築主】</t>
  </si>
  <si>
    <t>確認以降に施行規則第3条の2に該当する軽微な変更がありましたので、当該変更内容を報告します。また、この説明書及び添付図書に記載の事項は、事実に相違ありません。</t>
  </si>
  <si>
    <t>【注意事項】</t>
  </si>
  <si>
    <t>建築主等は、建築基準法第6条若しくは第6条の2の規定による確認以降に軽微な変更があった場合、軽微</t>
  </si>
  <si>
    <t>変更報告書を2部提出してください。</t>
  </si>
  <si>
    <t>軽微な変更の範囲については、建築基準法施行規則第3条の2を参照してください。また、審査の結果軽微な</t>
  </si>
  <si>
    <t>変更に該当しない場合は、計画変更確認申請が必要となります。</t>
  </si>
  <si>
    <t>配置計画等その変更内容によって、申請書等記載事項変更届、建築計画概要書が必要となる場合があります。</t>
  </si>
  <si>
    <t>届出者欄に建築主等以外の氏名を記載する場合は、建築主等の委任がある場合に限ります。</t>
  </si>
  <si>
    <t>本報告書の内容を建築主等に対して十分にご説明ください。本報告書の提出があったことにより、建築主等</t>
  </si>
  <si>
    <t>への説明済みであるものとして取り扱います。</t>
  </si>
  <si>
    <t>※印欄には、記入しないでください。</t>
  </si>
  <si>
    <t>追加説明事項</t>
  </si>
  <si>
    <t>＊以下の変更事項のうち、該当する事項のすべてについて「○」をつけてください。</t>
  </si>
  <si>
    <t>変更事項</t>
  </si>
  <si>
    <t>道路幅員、接道長さ</t>
  </si>
  <si>
    <t>敷地面積、敷地境界線</t>
  </si>
  <si>
    <t>建築設備(24H換気、浄化槽など)</t>
  </si>
  <si>
    <t>建築物の高さ</t>
  </si>
  <si>
    <t>建築物の位置</t>
  </si>
  <si>
    <t>階数</t>
  </si>
  <si>
    <t>階段</t>
  </si>
  <si>
    <t>屋根、軒、軒裏、ひさし</t>
  </si>
  <si>
    <t>その他(下記に具体的に記入)</t>
  </si>
  <si>
    <t>用途の変更</t>
  </si>
  <si>
    <t>(　　　　　　　　　　　　　)</t>
  </si>
  <si>
    <t>壁、間仕切壁</t>
  </si>
  <si>
    <t>防火、耐火材料</t>
  </si>
  <si>
    <t>開口部の位置、大きさ</t>
  </si>
  <si>
    <t>天井</t>
  </si>
  <si>
    <t>ＡＫＣ様式２７</t>
  </si>
  <si>
    <t>※本申請書を提出する場合は必ず建築計画概要書の1～3面を全て添付してください</t>
  </si>
  <si>
    <t>申 請 書 等 記 載 事 項 変 更 届</t>
  </si>
  <si>
    <t>年　　　　　月　　　　　日</t>
  </si>
  <si>
    <t>株式会社愛知建築センター
　</t>
  </si>
  <si>
    <t xml:space="preserve">代表取締役　鳥居　敏夫　様
</t>
  </si>
  <si>
    <t>届出者氏名</t>
  </si>
  <si>
    <t>下記に係る工事について、申請書等記載事項を変更しましたのでお届けします。</t>
  </si>
  <si>
    <t>建　築　場　所</t>
  </si>
  <si>
    <t>主　要　用　途</t>
  </si>
  <si>
    <t>記　載　事　項</t>
  </si>
  <si>
    <t xml:space="preserve">建築主の住所、
氏名等
</t>
  </si>
  <si>
    <t>新</t>
  </si>
  <si>
    <t>氏名のフリガナ</t>
  </si>
  <si>
    <t>旧</t>
  </si>
  <si>
    <t xml:space="preserve">工事監理者の
所在地、氏名等
</t>
  </si>
  <si>
    <t>資格　</t>
  </si>
  <si>
    <t>(</t>
  </si>
  <si>
    <t>)建築士</t>
  </si>
  <si>
    <t>)登録</t>
  </si>
  <si>
    <t>建築士事務所名（</t>
  </si>
  <si>
    <t>)建築士事務所（</t>
  </si>
  <si>
    <t>)知事登録（</t>
  </si>
  <si>
    <t>）第</t>
  </si>
  <si>
    <t xml:space="preserve">工事施工者の
所在地、氏名等
</t>
  </si>
  <si>
    <t>氏名　</t>
  </si>
  <si>
    <t>営業所名　</t>
  </si>
  <si>
    <t xml:space="preserve"> 建設業の許可</t>
  </si>
  <si>
    <t>第(</t>
  </si>
  <si>
    <t>変更理由</t>
  </si>
  <si>
    <t>☐</t>
  </si>
  <si>
    <t>誤記</t>
  </si>
  <si>
    <t>建築主の希望</t>
  </si>
  <si>
    <t>※受付欄</t>
  </si>
  <si>
    <t>※　備　　　　　　考</t>
  </si>
  <si>
    <t>※決裁欄</t>
  </si>
  <si>
    <t>※印欄には、記入しないこと。</t>
  </si>
  <si>
    <t>㈱愛知建築センター</t>
  </si>
  <si>
    <t>敷　地　調　査　票</t>
  </si>
  <si>
    <t>☑</t>
  </si>
  <si>
    <t>㈱愛知建築センターへ確認申請を提出するにあたり、AKC敷調別紙1を参考に現地敷地調査・市町村役所調査等を行いました。</t>
  </si>
  <si>
    <t>建築主：</t>
  </si>
  <si>
    <t>設計者：</t>
  </si>
  <si>
    <t>【①道路関係】</t>
  </si>
  <si>
    <t>道路種別、幅員、敷地の周囲の状況について、AKC敷調別紙1を参考に現地敷地調査・市町村役所調査等を行いました。詳細は申請書・設計図書によります。</t>
  </si>
  <si>
    <t>【②建築基準法に係る地域・地区等関係】</t>
  </si>
  <si>
    <t>用途地域、防火地域、地域地区等について、AKC敷調別紙1を参考に現地敷地調査・市町村役所調査等を行いました。詳細は申請書・設計図書によります。</t>
  </si>
  <si>
    <t>【③都市計画法関係】</t>
  </si>
  <si>
    <t>都市計画法について、AKC敷調別紙1を参考に現地敷地調査・市町村役所調査等を行いました。詳細は申請書・設計図書によります。</t>
  </si>
  <si>
    <t>【④建築基準関係規定】</t>
  </si>
  <si>
    <t>建築基準関係規定について、AKC敷調別紙1を参考に現地敷地調査・市町村役所調査等を行いました。詳細は申請書・設計図書によります。</t>
  </si>
  <si>
    <t>【⑤現地調査及び市町村役所等で相談・打合せ・確認を行った年月日、担当者など】</t>
  </si>
  <si>
    <t>年月日</t>
  </si>
  <si>
    <t>担当者</t>
  </si>
  <si>
    <t>相談・打合せ・確認内容</t>
  </si>
  <si>
    <t>(※本紙は確認申請に添付不要です。)</t>
  </si>
  <si>
    <t>法第42条第1項第一号～第五号</t>
  </si>
  <si>
    <t>法第42条第2項道路</t>
  </si>
  <si>
    <t>法第43条第2項の認定、許可</t>
  </si>
  <si>
    <t>水路占用等許可</t>
  </si>
  <si>
    <t>敷地の周囲の道、水路等</t>
  </si>
  <si>
    <t>都市計画区域、都市計画区域外、準都市計画区域、市街化区域、市街化調整区域</t>
  </si>
  <si>
    <t>用途地域、建蔽率、容積率、防火地域、準防火地域、22条区域</t>
  </si>
  <si>
    <t>日影規制、地区計画、宅地造成規制区域、高度地区、外壁後退</t>
  </si>
  <si>
    <t>屋外広告物規制区域、下水道処理区域、緑化地域、特別用途地区</t>
  </si>
  <si>
    <t>災害危険区域、土砂災害特別警戒区域</t>
  </si>
  <si>
    <t>高層住居誘導地区、景観地区、高度利用地区、特定防災街区整備地区、特定街区</t>
  </si>
  <si>
    <t>臨海部防災区域、伝統的建造物群保存地区、建築協定区域、急傾斜地崩壊危険区域</t>
  </si>
  <si>
    <t>駐車場整備地区、特定都市河川流域区域、臨港地区(分区)、航空機騒音障害防止地区</t>
  </si>
  <si>
    <t>流通業務区域、駐輪場設置義務区域</t>
  </si>
  <si>
    <t>都市計画法第29条による許可</t>
  </si>
  <si>
    <t>都市計画法第35条の2による変更許可</t>
  </si>
  <si>
    <t>都市計画法第36条による検査済証</t>
  </si>
  <si>
    <t>都市計画法第37条による建築制限解除</t>
  </si>
  <si>
    <t>都市計画法第43条による許可</t>
  </si>
  <si>
    <t>都市計画法第53条による許可</t>
  </si>
  <si>
    <t>都市計画法施行規則第60条証明</t>
  </si>
  <si>
    <t>都市計画法第29条適用除外</t>
  </si>
  <si>
    <t>旧住造法区域、旧建築確認、土地謄本、建物謄本、家屋証明</t>
  </si>
  <si>
    <t>消防法、屋外広告物法、港湾法、高圧ガス保安法、ガス事業法、駐車場法、</t>
  </si>
  <si>
    <t>水道法、下水道法、宅地造成等規制法、流通業務市街地の整備に関する法律</t>
  </si>
  <si>
    <t>液化石油ガスの保安の確保及び取引の適正化に関する法律</t>
  </si>
  <si>
    <t>都市計画法、特定航空周辺航空機騒音対策特別措置法</t>
  </si>
  <si>
    <t>自転車の安全利用の促進及び自転車等の駐車対策の総合的推進に関する法律</t>
  </si>
  <si>
    <t>浄化槽法、特定都市河川浸水被害対策法、都市緑地法</t>
  </si>
  <si>
    <t>高齢者障害者等の移動等の円滑化の促進に関する法律</t>
  </si>
  <si>
    <t>建築物のエネルギー消費性能の向上に関する法律</t>
  </si>
  <si>
    <t>WEB申請受付チェックシート</t>
  </si>
  <si>
    <t>2022.4.1</t>
  </si>
  <si>
    <r>
      <rPr>
        <b/>
        <sz val="14"/>
        <color theme="1"/>
        <rFont val="HG丸ｺﾞｼｯｸM-PRO"/>
        <charset val="128"/>
      </rPr>
      <t>ポイントカードの確認</t>
    </r>
    <r>
      <rPr>
        <sz val="12"/>
        <color theme="1"/>
        <rFont val="HG丸ｺﾞｼｯｸM-PRO"/>
        <charset val="128"/>
      </rPr>
      <t>※下記①～②のいずれかにチェック。AKC会員の方はチェック不要。</t>
    </r>
  </si>
  <si>
    <r>
      <rPr>
        <b/>
        <sz val="12"/>
        <color theme="1"/>
        <rFont val="HG丸ｺﾞｼｯｸM-PRO"/>
        <charset val="128"/>
      </rPr>
      <t>カード有り</t>
    </r>
    <r>
      <rPr>
        <sz val="12"/>
        <color theme="1"/>
        <rFont val="HG丸ｺﾞｼｯｸM-PRO"/>
        <charset val="128"/>
      </rPr>
      <t>※下記のいずれかにチェック。ポイントカード所有者の方以外が支払いをされる場合はポイントの付与はできません。</t>
    </r>
  </si>
  <si>
    <t>ポイント獲得権利有り</t>
  </si>
  <si>
    <t>ポイント獲得権利無し</t>
  </si>
  <si>
    <t>ポイント不要</t>
  </si>
  <si>
    <r>
      <rPr>
        <b/>
        <sz val="12"/>
        <color theme="1"/>
        <rFont val="HG丸ｺﾞｼｯｸM-PRO"/>
        <charset val="128"/>
      </rPr>
      <t>カード無し</t>
    </r>
    <r>
      <rPr>
        <sz val="12"/>
        <color theme="1"/>
        <rFont val="HG丸ｺﾞｼｯｸM-PRO"/>
        <charset val="128"/>
      </rPr>
      <t>※下記のいずれかにチェック。</t>
    </r>
  </si>
  <si>
    <t>新規作成※本社窓口への来社が必要です。</t>
  </si>
  <si>
    <r>
      <t>手数料の支払い方法の確認</t>
    </r>
    <r>
      <rPr>
        <sz val="12"/>
        <color theme="1"/>
        <rFont val="HG丸ｺﾞｼｯｸM-PRO"/>
        <charset val="128"/>
      </rPr>
      <t>※下記①～③のいずれかにチェック。</t>
    </r>
  </si>
  <si>
    <r>
      <t>後納支払い</t>
    </r>
    <r>
      <rPr>
        <sz val="12"/>
        <color theme="1"/>
        <rFont val="HG丸ｺﾞｼｯｸM-PRO"/>
        <charset val="128"/>
      </rPr>
      <t>※当社と後納契約をしている請求先を下記いずれかからチェック。</t>
    </r>
  </si>
  <si>
    <t>その他（</t>
  </si>
  <si>
    <r>
      <t>本社窓口にて現金支払い(支店窓口でのお支払いはできません。)</t>
    </r>
    <r>
      <rPr>
        <sz val="12"/>
        <color theme="1"/>
        <rFont val="HG丸ｺﾞｼｯｸM-PRO"/>
        <charset val="128"/>
      </rPr>
      <t>※②-1、②-2のそれぞれにチェック。</t>
    </r>
  </si>
  <si>
    <r>
      <t>②-1　</t>
    </r>
    <r>
      <rPr>
        <b/>
        <sz val="12"/>
        <color theme="1"/>
        <rFont val="HG丸ｺﾞｼｯｸM-PRO"/>
        <charset val="128"/>
      </rPr>
      <t>支払い時期</t>
    </r>
  </si>
  <si>
    <t>済証等本社窓口受け取り時</t>
  </si>
  <si>
    <r>
      <t>②-2　</t>
    </r>
    <r>
      <rPr>
        <b/>
        <sz val="12"/>
        <color theme="1"/>
        <rFont val="HG丸ｺﾞｼｯｸM-PRO"/>
        <charset val="128"/>
      </rPr>
      <t>領収書の宛名</t>
    </r>
    <r>
      <rPr>
        <sz val="12"/>
        <color theme="1"/>
        <rFont val="HG丸ｺﾞｼｯｸM-PRO"/>
        <charset val="128"/>
      </rPr>
      <t>※後納、振込みの方は原則発行いたしません。</t>
    </r>
  </si>
  <si>
    <r>
      <t>振込み</t>
    </r>
    <r>
      <rPr>
        <sz val="12"/>
        <color theme="1"/>
        <rFont val="HG丸ｺﾞｼｯｸM-PRO"/>
        <charset val="128"/>
      </rPr>
      <t>※③-1、③-2のそれぞれにチェック。</t>
    </r>
  </si>
  <si>
    <r>
      <t>③-1　</t>
    </r>
    <r>
      <rPr>
        <b/>
        <sz val="12"/>
        <color theme="1"/>
        <rFont val="HG丸ｺﾞｼｯｸM-PRO"/>
        <charset val="128"/>
      </rPr>
      <t>請求書の宛名</t>
    </r>
    <r>
      <rPr>
        <sz val="12"/>
        <color theme="1"/>
        <rFont val="HG丸ｺﾞｼｯｸM-PRO"/>
        <charset val="128"/>
      </rPr>
      <t>※後納、現金の方は原則発行いたしません。</t>
    </r>
  </si>
  <si>
    <r>
      <t>③-2　</t>
    </r>
    <r>
      <rPr>
        <b/>
        <sz val="12"/>
        <color theme="1"/>
        <rFont val="HG丸ｺﾞｼｯｸM-PRO"/>
        <charset val="128"/>
      </rPr>
      <t>振込をされる方</t>
    </r>
    <r>
      <rPr>
        <sz val="12"/>
        <color theme="1"/>
        <rFont val="HG丸ｺﾞｼｯｸM-PRO"/>
        <charset val="128"/>
      </rPr>
      <t>※ポイントカード所有者の方以外が振込みをされる場合はポイントの付与はできません。</t>
    </r>
  </si>
  <si>
    <r>
      <t>済証等の受取方法の確認</t>
    </r>
    <r>
      <rPr>
        <sz val="12"/>
        <color theme="1"/>
        <rFont val="HG丸ｺﾞｼｯｸM-PRO"/>
        <charset val="128"/>
      </rPr>
      <t>※下記①～②のいずれかにチェック。</t>
    </r>
  </si>
  <si>
    <t>本社窓口手渡し(支店窓口での受取はできません。)</t>
  </si>
  <si>
    <r>
      <rPr>
        <b/>
        <sz val="12"/>
        <color theme="1"/>
        <rFont val="HG丸ｺﾞｼｯｸM-PRO"/>
        <charset val="128"/>
      </rPr>
      <t>郵送</t>
    </r>
    <r>
      <rPr>
        <sz val="12"/>
        <color theme="1"/>
        <rFont val="HG丸ｺﾞｼｯｸM-PRO"/>
        <charset val="128"/>
      </rPr>
      <t>※郵送先を下記のいずれかからチェック。</t>
    </r>
  </si>
  <si>
    <t>消防工事計画届は当社ホームページの書式をご活用ください。</t>
  </si>
  <si>
    <t>確認審査業務の申請書</t>
  </si>
  <si>
    <t>2　消防工事届一式（愛知県）からダウンロード</t>
  </si>
  <si>
    <t>■消防同意が不要な建築物</t>
  </si>
  <si>
    <t>防火・準防火地域以外の一戸建て専用住宅〔※〕</t>
  </si>
  <si>
    <t>※住宅の用途以外の部分の面積が延べ面積の1/2未満かつ50㎡以下</t>
  </si>
  <si>
    <t>★長屋、共同住宅は、消防同意が必要</t>
  </si>
  <si>
    <t>■消防同意が不要な場合でも消防の「工事計画届」が必要な市町村</t>
  </si>
  <si>
    <t>・尾張管内・・・北名古屋市、小牧市、清須市、長久手市、日進市、尾張旭市、豊明市、</t>
  </si>
  <si>
    <t>春日町、豊山町、東郷町</t>
  </si>
  <si>
    <t>・一宮管内・・・一宮市、犬山市、岩倉市、稲沢市、江南市、大口町、扶桑町</t>
  </si>
  <si>
    <t>・海部管内・・・あま市、愛西市、弥富市、蟹江町、大治町、飛島村</t>
  </si>
  <si>
    <t>・知多管内・・・大府市、常滑市</t>
  </si>
  <si>
    <t>・西三河管内・・・幸田町</t>
  </si>
  <si>
    <t>・豊田加茂管内・・・豊田市、みよし市</t>
  </si>
  <si>
    <t>・東三河管内・・・蒲郡市、田原市</t>
  </si>
  <si>
    <t>■名古屋市</t>
  </si>
  <si>
    <t>・専用住宅、長屋・・・・ＯＣＲ票のみ</t>
  </si>
  <si>
    <t>・上記以外の建築物・・・ＯＣＲ票+工事計画届</t>
  </si>
  <si>
    <t>本社</t>
  </si>
  <si>
    <t>〒446-0045</t>
  </si>
  <si>
    <t>愛知県安城市横山町浜畔上26-1</t>
  </si>
  <si>
    <t>MCビル2F</t>
  </si>
  <si>
    <t>TEL 0566-71-3567（代)</t>
  </si>
  <si>
    <t>検査G</t>
  </si>
  <si>
    <t>TEL 0566-91-8001</t>
  </si>
  <si>
    <t>住宅瑕疵担保責任保険G</t>
  </si>
  <si>
    <t>TEL 0566-91-8002</t>
  </si>
  <si>
    <t>性能評価G</t>
  </si>
  <si>
    <t>TEL 0566-91-8003</t>
  </si>
  <si>
    <t>建物名称</t>
  </si>
  <si>
    <t>(居室毎の機械換気設備計算書）</t>
  </si>
  <si>
    <t>　室　　　名</t>
  </si>
  <si>
    <t>居　　　室</t>
  </si>
  <si>
    <t>令第20条の8に基づく換気量（シックハウス換気）</t>
  </si>
  <si>
    <t>換気器具</t>
  </si>
  <si>
    <t>24時間　　　　対応  機器</t>
  </si>
  <si>
    <t>居室の平均天井高さ</t>
  </si>
  <si>
    <t>居室容積</t>
  </si>
  <si>
    <t>必要　　　換気     回数</t>
  </si>
  <si>
    <t>必要換気量</t>
  </si>
  <si>
    <t>計画換気量</t>
  </si>
  <si>
    <t>換気種別</t>
  </si>
  <si>
    <t>換気回数</t>
  </si>
  <si>
    <t>判定</t>
  </si>
  <si>
    <t>給　　気</t>
  </si>
  <si>
    <t>排　　気</t>
  </si>
  <si>
    <t>②≧①</t>
  </si>
  <si>
    <t>ｈ</t>
  </si>
  <si>
    <t>Aｈ</t>
  </si>
  <si>
    <t>ｎ</t>
  </si>
  <si>
    <t>Vr = ｎＡｈ</t>
  </si>
  <si>
    <t>（㎡）</t>
  </si>
  <si>
    <t>（ｍ）</t>
  </si>
  <si>
    <t>(㎥)</t>
  </si>
  <si>
    <t>（回/ｈ）</t>
  </si>
  <si>
    <t>（㎥/ｈ）</t>
  </si>
  <si>
    <t>(例）</t>
  </si>
  <si>
    <t>1F全体</t>
  </si>
  <si>
    <t>○</t>
  </si>
  <si>
    <t>第3種</t>
  </si>
  <si>
    <t>FY-17C</t>
  </si>
  <si>
    <t>(使用建築材料について）</t>
  </si>
  <si>
    <t>内装仕上げ部分等の種別は、規制対象外（F☆☆☆☆等）以外の使用はありません。</t>
  </si>
  <si>
    <t>クロルピリホスの添加、又は添加した建築材料の使用はありません。</t>
  </si>
  <si>
    <t>石綿、吹付石綿、吹付ロックウール(含有率0.1％超え)の使用はありません。</t>
  </si>
  <si>
    <t>(火気使用室換気計算）</t>
  </si>
  <si>
    <t>室　　　名</t>
  </si>
  <si>
    <t>器具名</t>
  </si>
  <si>
    <t>器具品番</t>
  </si>
  <si>
    <t>火気使用による計算</t>
  </si>
  <si>
    <t>台数</t>
  </si>
  <si>
    <r>
      <t>定数</t>
    </r>
    <r>
      <rPr>
        <sz val="11"/>
        <color theme="1"/>
        <rFont val="ＭＳ Ｐゴシック"/>
        <charset val="128"/>
      </rPr>
      <t xml:space="preserve">
</t>
    </r>
  </si>
  <si>
    <t>理論廃ガス量</t>
  </si>
  <si>
    <t>発熱量</t>
  </si>
  <si>
    <t>計画風量</t>
  </si>
  <si>
    <t>（台）</t>
  </si>
  <si>
    <t>a</t>
  </si>
  <si>
    <t>Ｋ（㎥/ｋＷｈ）</t>
  </si>
  <si>
    <t>Q（ｋＷ）</t>
  </si>
  <si>
    <r>
      <t>V（㎥</t>
    </r>
    <r>
      <rPr>
        <sz val="11"/>
        <color theme="1"/>
        <rFont val="ＭＳ Ｐゴシック"/>
        <charset val="128"/>
      </rPr>
      <t>/ｈ）</t>
    </r>
  </si>
  <si>
    <r>
      <t>（㎥</t>
    </r>
    <r>
      <rPr>
        <sz val="11"/>
        <color theme="1"/>
        <rFont val="ＭＳ Ｐゴシック"/>
        <charset val="128"/>
      </rPr>
      <t>/ｈ）</t>
    </r>
  </si>
  <si>
    <t>（例）</t>
  </si>
  <si>
    <t>キッチン</t>
  </si>
  <si>
    <t>ガスコンロ</t>
  </si>
  <si>
    <t>TK-0320</t>
  </si>
  <si>
    <t>ＭＦ-1015</t>
  </si>
  <si>
    <t>設計者名　　　　</t>
  </si>
  <si>
    <t>第四号書式(第十七条の十四の二関係)(Ａ４)</t>
  </si>
  <si>
    <t>構造計算によつて建築物の安全性を確かめた旨の証明書</t>
  </si>
  <si>
    <t>　建築士法第20条第２項の規定により、別添の構造計算書によつて下記の建築物の安全性を確かめたことを証明します。</t>
  </si>
  <si>
    <t>年　　　月　　　日</t>
  </si>
  <si>
    <t>（　）建築士　（　　）登録第　　　　　号</t>
  </si>
  <si>
    <t>氏名　　　　　　　　　　　印</t>
  </si>
  <si>
    <t>（　）建築士事務所　（　）知事登録第　　　　　号</t>
  </si>
  <si>
    <t>所在地　　　　　　　　　　　</t>
  </si>
  <si>
    <t>電話　　　　　　番</t>
  </si>
  <si>
    <t>　委託者　　　殿</t>
  </si>
  <si>
    <t>建築物の所在地</t>
  </si>
  <si>
    <t>建築物の名称及び用途</t>
  </si>
  <si>
    <t xml:space="preserve">                   ㎡</t>
  </si>
  <si>
    <t>１　最高の高さ           ｍ</t>
  </si>
  <si>
    <t>２　最高の軒の高さ       ｍ</t>
  </si>
  <si>
    <t>地上       階　　地下       階</t>
  </si>
  <si>
    <t xml:space="preserve">                造　　 　一部               造</t>
  </si>
  <si>
    <t>建築物の区分</t>
  </si>
  <si>
    <t>１　建築基準法（以下「法」という｡) 第20条第１項第１号に掲げる
　建築物</t>
  </si>
  <si>
    <t>２　法第20条第１項第２号に掲げる建築物</t>
  </si>
  <si>
    <t>３　法第20条第１項第３号に掲げる建築物</t>
  </si>
  <si>
    <t>４　法第20条第１項第４号に掲げる建築物</t>
  </si>
  <si>
    <t>別添の構造計算書に係る構造計算の種類</t>
  </si>
  <si>
    <t>１　建築基準法施行令（以下「令」という｡)第81条第１項に定める基準に従つた構造計算</t>
  </si>
  <si>
    <t>２　令第81条第２項第１号イに規定する構造計算</t>
  </si>
  <si>
    <t>３　令第81条第２項第１号ロに規定する構造計算</t>
  </si>
  <si>
    <t>４　令第81条第２項第２号イに規定する構造計算</t>
  </si>
  <si>
    <t>５　令第81条第３項に定める基準に従った構造計算</t>
  </si>
  <si>
    <t>６　その他(　　　　　　　　　　　　　　　　　　　　)</t>
  </si>
  <si>
    <t>別添の構造計算書に係る構造計算の方法</t>
  </si>
  <si>
    <t>１　国土交通大臣が定めた方法によるもの</t>
  </si>
  <si>
    <t>２　国土交通大臣の認定を受けたプログラムによるもの</t>
  </si>
  <si>
    <t>当該構造計算に用いたプログラム</t>
  </si>
  <si>
    <t>１　名称(　　　　　　　　　　　　　　　　　　　　　)</t>
  </si>
  <si>
    <t>２　国土交通大臣の認定　　　□有　　□無</t>
  </si>
  <si>
    <t>３　認定番号(　　　　　　　　　　　　　　　　　　　)</t>
  </si>
  <si>
    <t>〔記入注意〕</t>
  </si>
  <si>
    <t>１　この証明書に構造計算書を添え、この証明書と当該構造計算書に割印を押してください。</t>
  </si>
  <si>
    <t>２　構造計算を共同で行つた場合においては、連名で証明してください。</t>
  </si>
  <si>
    <t>３　建築物の二以上の部分がエキスパンションジョイントその他の相互に応力を伝えない構造方法のみで接している場合にあつては、当該建築物の部分ごとにこの証明書を作成し、設計の委託者に交付してください。</t>
  </si>
  <si>
    <t>４　「建築物の区分」の欄は、該当するものの番号を○で囲んでください。</t>
  </si>
  <si>
    <t>５　「別添の構造計算書に係る構造計算の種類」の欄は、該当するものの番号を○で囲んでください。「６　その他」に該当する場合は、具体的な構造計算の方法を併せて記入してください。</t>
  </si>
  <si>
    <t>６　「別添の構造計算書に係る構造計算の方法」の欄は、「別添の構造計算書に係る構造計算の種類」の欄で１又は６のいずれかを選択した場合は記入する必要はありません。</t>
  </si>
  <si>
    <t>７　「当該構造計算に用いたプログラム」の欄は、プログラムを用いて構造計算を行つた場合に記入してください。複数のプログラムを用いた場合は、すべてのプログラムについて記入してください。</t>
  </si>
  <si>
    <t>８　次の①から③までに掲げる場合に該当する場合は、「備考」の欄に、それぞれ当該①から③までに定める事項を記入してください。</t>
  </si>
  <si>
    <t xml:space="preserve">  ①　この証明書に係る建築物の部分について構造計算によりその安全性を確かめた場合　その旨及び当該部分</t>
  </si>
  <si>
    <t xml:space="preserve">  ②　この証明書に係る建築物の部分について他に構造計算によりその安全性を確かめた建築士がいる場合　その旨及び当該部分</t>
  </si>
  <si>
    <t xml:space="preserve">  ③　この証明書に係る建築物が法第68条の10第１項の認定を受けた型式に適合する建築物の部分を有する場合　その旨及び当該部分</t>
  </si>
  <si>
    <t>９　８②の場合にあつては、当該建築士が交付した構造計算により安全性を確かめた旨の証明書 及びそれに添付された構造計算書を、この証明書に添えてください。</t>
  </si>
  <si>
    <r>
      <rPr>
        <sz val="20"/>
        <color theme="1"/>
        <rFont val="MS PGothic"/>
        <family val="3"/>
        <charset val="128"/>
      </rPr>
      <t>確認申請時必要な図書のチェックシート</t>
    </r>
  </si>
  <si>
    <r>
      <rPr>
        <sz val="16"/>
        <color theme="1"/>
        <rFont val="MS PGothic"/>
        <family val="3"/>
        <charset val="128"/>
      </rPr>
      <t>建築主</t>
    </r>
  </si>
  <si>
    <r>
      <rPr>
        <sz val="16"/>
        <color theme="1"/>
        <rFont val="MS PGothic"/>
        <family val="3"/>
        <charset val="128"/>
      </rPr>
      <t>申請場所</t>
    </r>
  </si>
  <si>
    <r>
      <rPr>
        <b/>
        <sz val="16"/>
        <color theme="1"/>
        <rFont val="MS PGothic"/>
        <family val="3"/>
        <charset val="128"/>
      </rPr>
      <t>A  申請に必要な提出図書の具備状況の確認</t>
    </r>
  </si>
  <si>
    <r>
      <rPr>
        <sz val="12"/>
        <color theme="1"/>
        <rFont val="Segoe UI Symbol"/>
      </rPr>
      <t>◇</t>
    </r>
    <r>
      <rPr>
        <sz val="12"/>
        <color theme="1"/>
        <rFont val="MS PGothic"/>
        <family val="3"/>
        <charset val="128"/>
      </rPr>
      <t>規則第１条の３に基づく図書</t>
    </r>
  </si>
  <si>
    <r>
      <rPr>
        <sz val="11"/>
        <color theme="1"/>
        <rFont val="MS PGothic"/>
        <family val="3"/>
        <charset val="128"/>
      </rPr>
      <t>基本図書</t>
    </r>
  </si>
  <si>
    <r>
      <rPr>
        <sz val="11"/>
        <color theme="1"/>
        <rFont val="MS PGothic"/>
        <family val="3"/>
        <charset val="128"/>
      </rPr>
      <t>□確認申請書正本    □同副本(紙申請)    □建築計画概要書    □委任状(代理者申請の場合)</t>
    </r>
  </si>
  <si>
    <r>
      <rPr>
        <sz val="11"/>
        <color theme="1"/>
        <rFont val="MS PGothic"/>
        <family val="3"/>
        <charset val="128"/>
      </rPr>
      <t>□  適
□  否</t>
    </r>
  </si>
  <si>
    <r>
      <rPr>
        <sz val="11"/>
        <color theme="1"/>
        <rFont val="MS PGothic"/>
        <family val="3"/>
        <charset val="128"/>
      </rPr>
      <t>□認定書の写し</t>
    </r>
  </si>
  <si>
    <r>
      <rPr>
        <sz val="11"/>
        <color theme="1"/>
        <rFont val="MS PGothic"/>
        <family val="3"/>
        <charset val="128"/>
      </rPr>
      <t>○法第68の10第1項認定型式の写し</t>
    </r>
  </si>
  <si>
    <r>
      <rPr>
        <sz val="11"/>
        <color theme="1"/>
        <rFont val="MS PGothic"/>
        <family val="3"/>
        <charset val="128"/>
      </rPr>
      <t>○法第68の20第1項認定型式の写し</t>
    </r>
  </si>
  <si>
    <r>
      <rPr>
        <sz val="11"/>
        <color theme="1"/>
        <rFont val="MS PGothic"/>
        <family val="3"/>
        <charset val="128"/>
      </rPr>
      <t>□建築設計図書一式</t>
    </r>
  </si>
  <si>
    <r>
      <rPr>
        <sz val="11"/>
        <color theme="1"/>
        <rFont val="MS PGothic"/>
        <family val="3"/>
        <charset val="128"/>
      </rPr>
      <t>＊確認申請書に添付する建築設計図書一式は、規則第1条の3の規程に従い、申請建築物の規模・構造・用途等に応じ、</t>
    </r>
  </si>
  <si>
    <r>
      <rPr>
        <sz val="11"/>
        <color theme="1"/>
        <rFont val="MS PGothic"/>
        <family val="3"/>
        <charset val="128"/>
      </rPr>
      <t>審査に必要なものを整備するものとする。（具体的には E を参照してください。）</t>
    </r>
  </si>
  <si>
    <r>
      <rPr>
        <sz val="12"/>
        <color theme="1"/>
        <rFont val="Segoe UI Symbol"/>
      </rPr>
      <t>◇</t>
    </r>
    <r>
      <rPr>
        <sz val="12"/>
        <color theme="1"/>
        <rFont val="MS PGothic"/>
        <family val="3"/>
        <charset val="128"/>
      </rPr>
      <t>上記以外に必要な図書</t>
    </r>
  </si>
  <si>
    <r>
      <rPr>
        <sz val="11"/>
        <color theme="1"/>
        <rFont val="MS PGothic"/>
        <family val="3"/>
        <charset val="128"/>
      </rPr>
      <t>必須図書</t>
    </r>
  </si>
  <si>
    <r>
      <rPr>
        <sz val="11"/>
        <color theme="1"/>
        <rFont val="MS PGothic"/>
        <family val="3"/>
        <charset val="128"/>
      </rPr>
      <t>□建築工事届    □敷地調査票    □公図の写し    □都市計画基本図</t>
    </r>
  </si>
  <si>
    <r>
      <rPr>
        <sz val="11"/>
        <color theme="1"/>
        <rFont val="MS PGothic"/>
        <family val="3"/>
        <charset val="128"/>
      </rPr>
      <t>個別に必要な図書</t>
    </r>
  </si>
  <si>
    <r>
      <rPr>
        <sz val="11"/>
        <color theme="1"/>
        <rFont val="MS PGothic"/>
        <family val="3"/>
        <charset val="128"/>
      </rPr>
      <t>□消防用設備等の工事計画届等    □浄化槽調書(下水道処理区域以外)    □仮換地証明書</t>
    </r>
  </si>
  <si>
    <r>
      <rPr>
        <sz val="11"/>
        <color theme="1"/>
        <rFont val="MS PGothic"/>
        <family val="3"/>
        <charset val="128"/>
      </rPr>
      <t>□構造計算関係書類    □不適格建築物調書    □工場に関する報告書(工場・危険物がある場合)</t>
    </r>
  </si>
  <si>
    <r>
      <rPr>
        <sz val="10.5"/>
        <color theme="1"/>
        <rFont val="MS PGothic"/>
        <family val="3"/>
        <charset val="128"/>
      </rPr>
      <t>地域によって必要な書類</t>
    </r>
  </si>
  <si>
    <r>
      <rPr>
        <sz val="11"/>
        <color theme="1"/>
        <rFont val="MS PGothic"/>
        <family val="3"/>
        <charset val="128"/>
      </rPr>
      <t>□OCR票(名古屋市)</t>
    </r>
  </si>
  <si>
    <r>
      <rPr>
        <sz val="11"/>
        <color theme="1"/>
        <rFont val="MS PGothic"/>
        <family val="3"/>
        <charset val="128"/>
      </rPr>
      <t>□海部建設地調書(旧海部建設事務所管内)</t>
    </r>
  </si>
  <si>
    <r>
      <rPr>
        <sz val="11"/>
        <color theme="1"/>
        <rFont val="MS PGothic"/>
        <family val="3"/>
        <charset val="128"/>
      </rPr>
      <t>[津島市・愛西市・あま市・弥富市・飛島村・蟹江町・大治町]</t>
    </r>
  </si>
  <si>
    <r>
      <rPr>
        <sz val="12"/>
        <color theme="1"/>
        <rFont val="MS PGothic"/>
        <family val="3"/>
        <charset val="128"/>
      </rPr>
      <t>＊その他、提出図書により確認すべき事項</t>
    </r>
  </si>
  <si>
    <r>
      <rPr>
        <sz val="11"/>
        <color theme="1"/>
        <rFont val="MS PGothic"/>
        <family val="3"/>
        <charset val="128"/>
      </rPr>
      <t>Ⅰ．正本と副本の整合性の確認</t>
    </r>
  </si>
  <si>
    <r>
      <rPr>
        <sz val="11"/>
        <color theme="1"/>
        <rFont val="MS PGothic"/>
        <family val="3"/>
        <charset val="128"/>
      </rPr>
      <t>Ⅱ．設計者・監理者の資格要件の確認</t>
    </r>
  </si>
  <si>
    <r>
      <rPr>
        <b/>
        <sz val="16"/>
        <color theme="1"/>
        <rFont val="MS PGothic"/>
        <family val="3"/>
        <charset val="128"/>
      </rPr>
      <t>B  構造計算に関する確認</t>
    </r>
  </si>
  <si>
    <r>
      <rPr>
        <sz val="12"/>
        <color theme="1"/>
        <rFont val="Segoe UI Symbol"/>
      </rPr>
      <t>◇</t>
    </r>
    <r>
      <rPr>
        <sz val="12"/>
        <color theme="1"/>
        <rFont val="MS PGothic"/>
        <family val="3"/>
        <charset val="128"/>
      </rPr>
      <t>構造計算の安全証明書の写しの添付の確認</t>
    </r>
  </si>
  <si>
    <r>
      <rPr>
        <sz val="11"/>
        <color theme="1"/>
        <rFont val="MS PGothic"/>
        <family val="3"/>
        <charset val="128"/>
      </rPr>
      <t>□構造計算の安全証明書の写し(建築士が構造計算で安全性を確かめた場合に必要。)</t>
    </r>
  </si>
  <si>
    <r>
      <rPr>
        <sz val="12"/>
        <color theme="1"/>
        <rFont val="Segoe UI Symbol"/>
      </rPr>
      <t>◇</t>
    </r>
    <r>
      <rPr>
        <sz val="12"/>
        <color theme="1"/>
        <rFont val="MS PGothic"/>
        <family val="3"/>
        <charset val="128"/>
      </rPr>
      <t>構造計算適合性判定の要否の確認</t>
    </r>
  </si>
  <si>
    <r>
      <rPr>
        <sz val="11"/>
        <color theme="1"/>
        <rFont val="MS PGothic"/>
        <family val="3"/>
        <charset val="128"/>
      </rPr>
      <t>□構造計算概要書  (施行規則第1条の3の別記様式)</t>
    </r>
  </si>
  <si>
    <r>
      <rPr>
        <sz val="11"/>
        <color theme="1"/>
        <rFont val="MS PGothic"/>
        <family val="3"/>
        <charset val="128"/>
      </rPr>
      <t>□構造計算適合性判定の要否チェック表  (構造計算ルート図)</t>
    </r>
  </si>
  <si>
    <r>
      <rPr>
        <b/>
        <sz val="16"/>
        <color theme="1"/>
        <rFont val="MS PGothic"/>
        <family val="3"/>
        <charset val="128"/>
      </rPr>
      <t>C 省エネ適合性判定に関する確認</t>
    </r>
  </si>
  <si>
    <r>
      <rPr>
        <sz val="11"/>
        <color theme="1"/>
        <rFont val="MS PGothic"/>
        <family val="3"/>
        <charset val="128"/>
      </rPr>
      <t>*建築物が適合義務対象建築物の場合</t>
    </r>
  </si>
  <si>
    <r>
      <rPr>
        <sz val="11"/>
        <color theme="1"/>
        <rFont val="MS PGothic"/>
        <family val="3"/>
        <charset val="128"/>
      </rPr>
      <t>□省エネ適合判定通知書(又はその写し)等    □計画書(省エネ適合性判定申請書)</t>
    </r>
  </si>
  <si>
    <r>
      <rPr>
        <sz val="11"/>
        <color theme="1"/>
        <rFont val="MS PGothic"/>
        <family val="3"/>
        <charset val="128"/>
      </rPr>
      <t>*建築物の非住宅部分の床面積が300㎡以上かつ申請書第2面8欄が｢提出不要｣の場合（どちらか一方）</t>
    </r>
  </si>
  <si>
    <r>
      <rPr>
        <sz val="11"/>
        <color theme="1"/>
        <rFont val="MS PGothic"/>
        <family val="3"/>
        <charset val="128"/>
      </rPr>
      <t>□義務化施行日前の省エネ法届出等の写し</t>
    </r>
  </si>
  <si>
    <r>
      <rPr>
        <sz val="11"/>
        <color theme="1"/>
        <rFont val="MS PGothic"/>
        <family val="3"/>
        <charset val="128"/>
      </rPr>
      <t>□高い開放性を有する部分の床面積を除いた非住宅部分の床面積が2,000㎡未満の算定図</t>
    </r>
  </si>
  <si>
    <r>
      <rPr>
        <b/>
        <sz val="16"/>
        <color theme="1"/>
        <rFont val="MS PGothic"/>
        <family val="3"/>
        <charset val="128"/>
      </rPr>
      <t>D  建築基準関係規定の証明書等の原本(写し)の添付の確認</t>
    </r>
  </si>
  <si>
    <r>
      <rPr>
        <sz val="12"/>
        <color theme="1"/>
        <rFont val="Segoe UI Symbol"/>
      </rPr>
      <t>◇</t>
    </r>
    <r>
      <rPr>
        <sz val="12"/>
        <color theme="1"/>
        <rFont val="MS PGothic"/>
        <family val="3"/>
        <charset val="128"/>
      </rPr>
      <t>都市計画法、宅地造成等規制法等に適合することを証する書面の添付の確認</t>
    </r>
  </si>
  <si>
    <r>
      <rPr>
        <sz val="11"/>
        <color theme="1"/>
        <rFont val="MS PGothic"/>
        <family val="3"/>
        <charset val="128"/>
      </rPr>
      <t>基本書類</t>
    </r>
  </si>
  <si>
    <r>
      <rPr>
        <sz val="11"/>
        <color theme="1"/>
        <rFont val="MS PGothic"/>
        <family val="3"/>
        <charset val="128"/>
      </rPr>
      <t>□開発許可    □建築制限解除の承認書    □建築許可    □既存宅地確認</t>
    </r>
  </si>
  <si>
    <r>
      <rPr>
        <sz val="11"/>
        <color theme="1"/>
        <rFont val="MS PGothic"/>
        <family val="3"/>
        <charset val="128"/>
      </rPr>
      <t>□60条証明書    □宅地造成等許可書の写し    □同法規則第8条の2証明書</t>
    </r>
  </si>
  <si>
    <r>
      <rPr>
        <sz val="11"/>
        <color theme="1"/>
        <rFont val="MS PGothic"/>
        <family val="3"/>
        <charset val="128"/>
      </rPr>
      <t>個別書類</t>
    </r>
  </si>
  <si>
    <r>
      <rPr>
        <sz val="11"/>
        <color theme="1"/>
        <rFont val="MS PGothic"/>
        <family val="3"/>
        <charset val="128"/>
      </rPr>
      <t>*その他、市町村の行政に応じて個別に必要なもの</t>
    </r>
  </si>
  <si>
    <r>
      <rPr>
        <sz val="11"/>
        <color theme="1"/>
        <rFont val="MS PGothic"/>
        <family val="3"/>
        <charset val="128"/>
      </rPr>
      <t>□事前協議結果    □合議制度(名古屋市・豊田市)</t>
    </r>
  </si>
  <si>
    <r>
      <rPr>
        <b/>
        <sz val="11"/>
        <color rgb="FFFF0000"/>
        <rFont val="MS PGothic"/>
        <family val="3"/>
        <charset val="128"/>
      </rPr>
      <t>◎事前協議の結果・担当者・年月日等は敷地調査票に記載してください。</t>
    </r>
  </si>
  <si>
    <r>
      <rPr>
        <b/>
        <sz val="16"/>
        <color theme="1"/>
        <rFont val="MS PGothic"/>
        <family val="3"/>
        <charset val="128"/>
      </rPr>
      <t>E  規則第1条の3に基づく図書について</t>
    </r>
  </si>
  <si>
    <r>
      <rPr>
        <sz val="11"/>
        <color theme="1"/>
        <rFont val="MS PGothic"/>
        <family val="3"/>
        <charset val="128"/>
      </rPr>
      <t>*確認申請書に添付することが求められる図書は、規則第1条の3に規定されています。</t>
    </r>
  </si>
  <si>
    <r>
      <rPr>
        <sz val="11"/>
        <color theme="1"/>
        <rFont val="MS PGothic"/>
        <family val="3"/>
        <charset val="128"/>
      </rPr>
      <t>*審査上必要な、設計図書に明示すべき事項等を、同じく規則第1条の3にてご確認ください。</t>
    </r>
  </si>
  <si>
    <r>
      <rPr>
        <sz val="11"/>
        <color theme="1"/>
        <rFont val="MS PGothic"/>
        <family val="3"/>
        <charset val="128"/>
      </rPr>
      <t>*以下の表は、その概略を表示しています。(図面の兼用は可能です。)</t>
    </r>
  </si>
  <si>
    <r>
      <rPr>
        <b/>
        <sz val="12"/>
        <color theme="1"/>
        <rFont val="MS PGothic"/>
        <family val="3"/>
        <charset val="128"/>
      </rPr>
      <t>1項の表1</t>
    </r>
  </si>
  <si>
    <r>
      <rPr>
        <sz val="12"/>
        <color theme="1"/>
        <rFont val="MS PGothic"/>
        <family val="3"/>
        <charset val="128"/>
      </rPr>
      <t>法第6条第1号、第2号、第3号、第4号の建築物に添付する図書</t>
    </r>
  </si>
  <si>
    <r>
      <rPr>
        <sz val="11"/>
        <color theme="1"/>
        <rFont val="Segoe UI Symbol"/>
      </rPr>
      <t>◇</t>
    </r>
    <r>
      <rPr>
        <sz val="11"/>
        <color theme="1"/>
        <rFont val="MS PGothic"/>
        <family val="3"/>
        <charset val="128"/>
      </rPr>
      <t>必ず必要な図書</t>
    </r>
  </si>
  <si>
    <r>
      <rPr>
        <sz val="11"/>
        <color theme="1"/>
        <rFont val="MS PGothic"/>
        <family val="3"/>
        <charset val="128"/>
      </rPr>
      <t>*法第6条の第1項第1号から第4号の全ての建築物に必ず必要な図書です。</t>
    </r>
  </si>
  <si>
    <r>
      <rPr>
        <sz val="11"/>
        <color theme="1"/>
        <rFont val="MS PGothic"/>
        <family val="3"/>
        <charset val="128"/>
      </rPr>
      <t>（い）</t>
    </r>
  </si>
  <si>
    <r>
      <rPr>
        <sz val="11"/>
        <color theme="1"/>
        <rFont val="MS PGothic"/>
        <family val="3"/>
        <charset val="128"/>
      </rPr>
      <t>□付近見取図    □配置図    □各階平面図</t>
    </r>
  </si>
  <si>
    <r>
      <rPr>
        <sz val="11"/>
        <color theme="1"/>
        <rFont val="Segoe UI Symbol"/>
      </rPr>
      <t>◇</t>
    </r>
    <r>
      <rPr>
        <sz val="11"/>
        <color theme="1"/>
        <rFont val="MS PGothic"/>
        <family val="3"/>
        <charset val="128"/>
      </rPr>
      <t>基本的な図書</t>
    </r>
  </si>
  <si>
    <r>
      <rPr>
        <sz val="11"/>
        <color theme="1"/>
        <rFont val="MS PGothic"/>
        <family val="3"/>
        <charset val="128"/>
      </rPr>
      <t>*規則第1条の3第5項(法6条の4：確認の特例による型式住宅や4号建築物)の場合は、添付免除や省略が可能です。</t>
    </r>
  </si>
  <si>
    <r>
      <rPr>
        <sz val="11"/>
        <color theme="1"/>
        <rFont val="MS PGothic"/>
        <family val="3"/>
        <charset val="128"/>
      </rPr>
      <t>□床面積求積図    □地盤面算出表</t>
    </r>
  </si>
  <si>
    <r>
      <rPr>
        <sz val="11"/>
        <color theme="1"/>
        <rFont val="MS PGothic"/>
        <family val="3"/>
        <charset val="128"/>
      </rPr>
      <t>（ろ）</t>
    </r>
  </si>
  <si>
    <r>
      <rPr>
        <sz val="11"/>
        <color theme="1"/>
        <rFont val="MS PGothic"/>
        <family val="3"/>
        <charset val="128"/>
      </rPr>
      <t>□二面以上の立面図    □二面以上の断面図</t>
    </r>
  </si>
  <si>
    <r>
      <rPr>
        <sz val="11"/>
        <color theme="1"/>
        <rFont val="MS PGothic"/>
        <family val="3"/>
        <charset val="128"/>
      </rPr>
      <t>（は）</t>
    </r>
  </si>
  <si>
    <r>
      <rPr>
        <sz val="11"/>
        <color theme="1"/>
        <rFont val="MS PGothic"/>
        <family val="3"/>
        <charset val="128"/>
      </rPr>
      <t>□基礎伏図    □各階床伏図    □小屋伏図    □構造詳細図</t>
    </r>
  </si>
  <si>
    <t>1項表2</t>
  </si>
  <si>
    <r>
      <rPr>
        <sz val="12"/>
        <color theme="1"/>
        <rFont val="MS PGothic"/>
        <family val="3"/>
        <charset val="128"/>
      </rPr>
      <t>個々の申請建築物に対して適用される法令の規定ごとに必要な図書</t>
    </r>
  </si>
  <si>
    <r>
      <rPr>
        <sz val="11"/>
        <color theme="1"/>
        <rFont val="MS PGothic"/>
        <family val="3"/>
        <charset val="128"/>
      </rPr>
      <t>*表1と同じ名称の図書は、表示を省略します。</t>
    </r>
  </si>
  <si>
    <r>
      <rPr>
        <sz val="11"/>
        <color theme="1"/>
        <rFont val="Segoe UI Symbol"/>
      </rPr>
      <t>◇</t>
    </r>
    <r>
      <rPr>
        <sz val="11"/>
        <color theme="1"/>
        <rFont val="MS PGothic"/>
        <family val="3"/>
        <charset val="128"/>
      </rPr>
      <t>構造規定に関連して必要な図書</t>
    </r>
  </si>
  <si>
    <r>
      <rPr>
        <sz val="11"/>
        <color theme="1"/>
        <rFont val="MS PGothic"/>
        <family val="3"/>
        <charset val="128"/>
      </rPr>
      <t>□主要構造材料一覧表    □敷地断面図及び基礎・地盤説明書</t>
    </r>
  </si>
  <si>
    <r>
      <rPr>
        <sz val="11"/>
        <color theme="1"/>
        <rFont val="MS PGothic"/>
        <family val="3"/>
        <charset val="128"/>
      </rPr>
      <t>□基礎の構造基準の確認に必要な図面    □施工方法等計画書</t>
    </r>
  </si>
  <si>
    <r>
      <rPr>
        <sz val="11"/>
        <color theme="1"/>
        <rFont val="Segoe UI Symbol"/>
      </rPr>
      <t>◇</t>
    </r>
    <r>
      <rPr>
        <sz val="11"/>
        <color theme="1"/>
        <rFont val="MS PGothic"/>
        <family val="3"/>
        <charset val="128"/>
      </rPr>
      <t>単体規定に関連して必要な図書</t>
    </r>
  </si>
  <si>
    <r>
      <rPr>
        <sz val="11"/>
        <color theme="1"/>
        <rFont val="MS PGothic"/>
        <family val="3"/>
        <charset val="128"/>
      </rPr>
      <t>□耐火構造等の構造詳細図    □使用構造材料一覧表(主要構造部)    □内装の仕上表</t>
    </r>
  </si>
  <si>
    <r>
      <rPr>
        <sz val="11"/>
        <color theme="1"/>
        <rFont val="MS PGothic"/>
        <family val="3"/>
        <charset val="128"/>
      </rPr>
      <t>□採光・換気・排煙等の計算書    □シックハウス使用建築材料表・換気計算書</t>
    </r>
  </si>
  <si>
    <r>
      <rPr>
        <sz val="11"/>
        <color theme="1"/>
        <rFont val="MS PGothic"/>
        <family val="3"/>
        <charset val="128"/>
      </rPr>
      <t>□外壁等の構造詳細図(地階)    □消火設備図    □使用建築材料表(法37条)</t>
    </r>
  </si>
  <si>
    <r>
      <rPr>
        <sz val="11"/>
        <color theme="1"/>
        <rFont val="Segoe UI Symbol"/>
      </rPr>
      <t>◇</t>
    </r>
    <r>
      <rPr>
        <sz val="11"/>
        <color theme="1"/>
        <rFont val="MS PGothic"/>
        <family val="3"/>
        <charset val="128"/>
      </rPr>
      <t>集団規定に関連して必要な図書</t>
    </r>
  </si>
  <si>
    <r>
      <rPr>
        <sz val="11"/>
        <color theme="1"/>
        <rFont val="MS PGothic"/>
        <family val="3"/>
        <charset val="128"/>
      </rPr>
      <t>□敷地面積求積図    □建築面積求積図    □特定道路の配置図    □危険物の数量表</t>
    </r>
  </si>
  <si>
    <r>
      <rPr>
        <sz val="11"/>
        <color theme="1"/>
        <rFont val="MS PGothic"/>
        <family val="3"/>
        <charset val="128"/>
      </rPr>
      <t>□工場・事業調書    □法51条関係用途の建築物調書</t>
    </r>
  </si>
  <si>
    <r>
      <rPr>
        <sz val="11"/>
        <color theme="1"/>
        <rFont val="MS PGothic"/>
        <family val="3"/>
        <charset val="128"/>
      </rPr>
      <t>天空率  (□配置図    □位置確認表    □算定表    □天空図)：全て適合・計画共必要</t>
    </r>
  </si>
  <si>
    <r>
      <rPr>
        <sz val="11"/>
        <color theme="1"/>
        <rFont val="MS PGothic"/>
        <family val="3"/>
        <charset val="128"/>
      </rPr>
      <t>日影  (□日影図    □日影形状算定表    □平均地盤面算出表)</t>
    </r>
  </si>
  <si>
    <r>
      <rPr>
        <sz val="11"/>
        <color theme="1"/>
        <rFont val="MS PGothic"/>
        <family val="3"/>
        <charset val="128"/>
      </rPr>
      <t>許可・認定  (□法43条第2項第二号    □法48条ただし書    □法51条ただし書    □その他)</t>
    </r>
  </si>
  <si>
    <r>
      <rPr>
        <sz val="11"/>
        <color theme="1"/>
        <rFont val="Segoe UI Symbol"/>
      </rPr>
      <t>◇</t>
    </r>
    <r>
      <rPr>
        <sz val="11"/>
        <color theme="1"/>
        <rFont val="Yu Gothic"/>
        <charset val="128"/>
      </rPr>
      <t>その他必要な図書</t>
    </r>
  </si>
  <si>
    <r>
      <rPr>
        <sz val="11"/>
        <color theme="1"/>
        <rFont val="MS PGothic"/>
        <family val="3"/>
        <charset val="128"/>
      </rPr>
      <t>□既存不適格調書</t>
    </r>
  </si>
  <si>
    <r>
      <rPr>
        <sz val="11"/>
        <color theme="1"/>
        <rFont val="Segoe UI Symbol"/>
      </rPr>
      <t>◇</t>
    </r>
    <r>
      <rPr>
        <sz val="11"/>
        <color theme="1"/>
        <rFont val="MS PGothic"/>
        <family val="3"/>
        <charset val="128"/>
      </rPr>
      <t>建築基準関係規定に関連して必要な図書(施行令第9条)</t>
    </r>
  </si>
  <si>
    <r>
      <rPr>
        <sz val="11"/>
        <color theme="1"/>
        <rFont val="MS PGothic"/>
        <family val="3"/>
        <charset val="128"/>
      </rPr>
      <t>□バリアフリー法（□配置図    □平面図）    □駐車場調書    □関係規定に適合することの確認に必要な図書</t>
    </r>
  </si>
  <si>
    <t>1項表3</t>
  </si>
  <si>
    <r>
      <rPr>
        <sz val="12"/>
        <color theme="1"/>
        <rFont val="MS PGothic"/>
        <family val="3"/>
        <charset val="128"/>
      </rPr>
      <t>構造計算に関係する図書</t>
    </r>
  </si>
  <si>
    <r>
      <rPr>
        <sz val="11"/>
        <color theme="1"/>
        <rFont val="MS PGothic"/>
        <family val="3"/>
        <charset val="128"/>
      </rPr>
      <t>*構造計算ルートごとに必要な構造計算関係図書を添付します。</t>
    </r>
  </si>
  <si>
    <r>
      <rPr>
        <sz val="11"/>
        <color theme="1"/>
        <rFont val="MS PGothic"/>
        <family val="3"/>
        <charset val="128"/>
      </rPr>
      <t>*規則第1条の3第5項（法6条の4：確認の特例による型式住宅や4号建築物）の場合は、添付免除や省略が可能です。</t>
    </r>
  </si>
  <si>
    <r>
      <rPr>
        <sz val="11"/>
        <color theme="1"/>
        <rFont val="MS PGothic"/>
        <family val="3"/>
        <charset val="128"/>
      </rPr>
      <t>□構造計算チェックリスト    □使用構造材料一覧表    □特別な調査又は研究の結果等説明書    □基礎・地盤説明書</t>
    </r>
  </si>
  <si>
    <r>
      <rPr>
        <sz val="11"/>
        <color theme="1"/>
        <rFont val="MS PGothic"/>
        <family val="3"/>
        <charset val="128"/>
      </rPr>
      <t>□略伏図    □略軸組図    □部材断面表    □構造計算書    □応力図等    □構造計算による安全確認証明書</t>
    </r>
  </si>
  <si>
    <t>1項表4</t>
  </si>
  <si>
    <r>
      <rPr>
        <sz val="12"/>
        <color theme="1"/>
        <rFont val="MS PGothic"/>
        <family val="3"/>
        <charset val="128"/>
      </rPr>
      <t>法令に基づく大臣認定認定書の写し</t>
    </r>
  </si>
  <si>
    <r>
      <rPr>
        <sz val="11"/>
        <color theme="1"/>
        <rFont val="MS PGothic"/>
        <family val="3"/>
        <charset val="128"/>
      </rPr>
      <t>*法令に基づく大臣認定の写しを添付してください。なお、</t>
    </r>
    <r>
      <rPr>
        <b/>
        <sz val="11"/>
        <color rgb="FFFF0000"/>
        <rFont val="MS PGothic"/>
        <family val="3"/>
        <charset val="128"/>
      </rPr>
      <t>認定書は表紙だけではなく、別添資料全て添付</t>
    </r>
    <r>
      <rPr>
        <sz val="11"/>
        <color theme="1"/>
        <rFont val="MS PGothic"/>
        <family val="3"/>
        <charset val="128"/>
      </rPr>
      <t>となります。</t>
    </r>
  </si>
  <si>
    <r>
      <rPr>
        <sz val="11"/>
        <color theme="1"/>
        <rFont val="MS PGothic"/>
        <family val="3"/>
        <charset val="128"/>
      </rPr>
      <t>□各種認定書の写し    □新法38条の大臣認定の写し</t>
    </r>
  </si>
  <si>
    <t>1項表5</t>
  </si>
  <si>
    <r>
      <rPr>
        <sz val="12"/>
        <color theme="1"/>
        <rFont val="MS PGothic"/>
        <family val="3"/>
        <charset val="128"/>
      </rPr>
      <t>性能規定化による検証項目</t>
    </r>
  </si>
  <si>
    <r>
      <rPr>
        <sz val="11"/>
        <color theme="1"/>
        <rFont val="MS PGothic"/>
        <family val="3"/>
        <charset val="128"/>
      </rPr>
      <t>□耐火性能検証法計算書    □防火区画検証法計算書    □令第70条関係    □ただし書等で構造計算を規定したもの</t>
    </r>
  </si>
  <si>
    <r>
      <rPr>
        <sz val="11"/>
        <color theme="1"/>
        <rFont val="MS PGothic"/>
        <family val="3"/>
        <charset val="128"/>
      </rPr>
      <t>□階避難安全検証法計算書・平面図    □全館避難安全検証法計算書・平面図</t>
    </r>
  </si>
  <si>
    <t>3項</t>
  </si>
  <si>
    <r>
      <rPr>
        <sz val="12"/>
        <color theme="1"/>
        <rFont val="MS PGothic"/>
        <family val="3"/>
        <charset val="128"/>
      </rPr>
      <t>法86条の8「既存の一つの建築物について2以上の工事にわけて工事を行う場合の制限の緩和」</t>
    </r>
  </si>
  <si>
    <r>
      <rPr>
        <sz val="11"/>
        <color theme="1"/>
        <rFont val="Segoe UI Symbol"/>
      </rPr>
      <t>□</t>
    </r>
    <r>
      <rPr>
        <sz val="11"/>
        <color theme="1"/>
        <rFont val="MS PGothic"/>
        <family val="3"/>
        <charset val="128"/>
      </rPr>
      <t xml:space="preserve">全体計画認定通知書    </t>
    </r>
    <r>
      <rPr>
        <sz val="11"/>
        <color theme="1"/>
        <rFont val="Segoe UI Symbol"/>
      </rPr>
      <t>□</t>
    </r>
    <r>
      <rPr>
        <sz val="11"/>
        <color theme="1"/>
        <rFont val="MS PGothic"/>
        <family val="3"/>
        <charset val="128"/>
      </rPr>
      <t>全体計画変更認定通知書（添付図書を含みます。）</t>
    </r>
  </si>
  <si>
    <t>4項表1</t>
  </si>
  <si>
    <r>
      <rPr>
        <sz val="12"/>
        <color theme="1"/>
        <rFont val="MS PGothic"/>
        <family val="3"/>
        <charset val="128"/>
      </rPr>
      <t>法6条第1項の確認申請に係る「建築設備」に係る図書</t>
    </r>
  </si>
  <si>
    <r>
      <rPr>
        <sz val="11"/>
        <color theme="1"/>
        <rFont val="MS PGothic"/>
        <family val="3"/>
        <charset val="128"/>
      </rPr>
      <t>□換気設備    □浄化槽仕様書・構造詳細図    □電気設備    □避雷針設備    □排煙設備    □非常用照明設備</t>
    </r>
  </si>
  <si>
    <r>
      <rPr>
        <sz val="11"/>
        <color theme="1"/>
        <rFont val="MS PGothic"/>
        <family val="3"/>
        <charset val="128"/>
      </rPr>
      <t>□便所    □井戸    □配管設備    □風道構造詳細図    □冷却塔設備    □ガス    □給水    □排水    □EV</t>
    </r>
  </si>
  <si>
    <r>
      <rPr>
        <sz val="11"/>
        <color theme="1"/>
        <rFont val="MS PGothic"/>
        <family val="3"/>
        <charset val="128"/>
      </rPr>
      <t>□エスカレーター  □小荷物EV    □非常用EV    □建築基準関係規定より必要な図書（施行令第9条参照）</t>
    </r>
  </si>
  <si>
    <t>4項表2</t>
  </si>
  <si>
    <r>
      <rPr>
        <sz val="12"/>
        <color theme="1"/>
        <rFont val="MS PGothic"/>
        <family val="3"/>
        <charset val="128"/>
      </rPr>
      <t>「建築設備」における各種認定書の写し</t>
    </r>
  </si>
  <si>
    <r>
      <rPr>
        <sz val="11"/>
        <color theme="1"/>
        <rFont val="MS PGothic"/>
        <family val="3"/>
        <charset val="128"/>
      </rPr>
      <t>*規則第1条の3第5項（法6条の4：確認の特例による型式住宅）の場合は、添付免除や省略が可能です。</t>
    </r>
  </si>
  <si>
    <r>
      <rPr>
        <sz val="11"/>
        <color theme="1"/>
        <rFont val="MS PGothic"/>
        <family val="3"/>
        <charset val="128"/>
      </rPr>
      <t>□「建築設備」における各種認定書の写し（添付図書を含みます。）</t>
    </r>
  </si>
  <si>
    <t>7項</t>
  </si>
  <si>
    <r>
      <rPr>
        <sz val="12"/>
        <color theme="1"/>
        <rFont val="MS PGothic"/>
        <family val="3"/>
        <charset val="128"/>
      </rPr>
      <t>特定行政庁が規則で定める図書</t>
    </r>
  </si>
  <si>
    <r>
      <rPr>
        <sz val="11"/>
        <color theme="1"/>
        <rFont val="MS PGothic"/>
        <family val="3"/>
        <charset val="128"/>
      </rPr>
      <t>□特定行政庁が規則で定める図書（審査指針第1・3項8号）</t>
    </r>
  </si>
  <si>
    <t>建築計画概要書（第三面）</t>
  </si>
  <si>
    <t>配置図</t>
  </si>
  <si>
    <t>(注意)</t>
  </si>
  <si>
    <t>1．第一面及び第二面関係</t>
  </si>
  <si>
    <t>　これらは第二号様式の第二面及び第三面の写しに代えることができます。この場合には、最上段に「建築計画概要書(第一面)」及び「建築計画概要書(第二面)」と明示してください。</t>
  </si>
  <si>
    <t>　第一面の5欄及び6欄は、それぞれ工事監理者又は工事施工者が未定のときは、後で定まってから工事着手前に届け出てください。この場合には、特定行政庁が届出があった旨を明示した上で記入します。</t>
  </si>
  <si>
    <t>2．第三面関係</t>
  </si>
  <si>
    <t>　付近見取図には、方位、道路及び目標となる地物を明示してください。</t>
  </si>
  <si>
    <t>　配置図には、縮尺、方位、敷地境界線、敷地内における建築物の位置、申請に係る建築物と他の建築物との別並びに敷地の接する道路の位置及び幅員を明示してください。</t>
  </si>
  <si>
    <t>建築主２</t>
  </si>
  <si>
    <t>建築主３</t>
  </si>
  <si>
    <t>建築主４</t>
  </si>
  <si>
    <t>建築主５</t>
  </si>
  <si>
    <t>建築主６</t>
  </si>
  <si>
    <t>建築主７</t>
  </si>
  <si>
    <t>建築主８</t>
  </si>
  <si>
    <t>建築主９</t>
  </si>
  <si>
    <t>AKC様式12</t>
  </si>
  <si>
    <t>確認審査申請取り下げ届</t>
  </si>
  <si>
    <t>代表取締役　鳥居　敏夫　様</t>
  </si>
  <si>
    <t>届出者</t>
  </si>
  <si>
    <t>に申し込みました確認審査の申請については、都合により</t>
  </si>
  <si>
    <t>株式会社愛知建築センター業務約款第6条の規定により取り下げます。</t>
  </si>
  <si>
    <t>申請年月日</t>
  </si>
  <si>
    <t>年          月          日</t>
  </si>
  <si>
    <t>建築主、設置者又は築造主氏名</t>
  </si>
  <si>
    <t>建築場所、設置場所又は築造場所</t>
  </si>
  <si>
    <t>取り下げ理由</t>
  </si>
  <si>
    <t>建築主等の希望</t>
  </si>
  <si>
    <t>※備考</t>
  </si>
  <si>
    <t>備考 1</t>
  </si>
  <si>
    <t>申請を取り下げた場合、後日同じ申請をされたとしても原則あらためて申請手数料が発生します</t>
  </si>
  <si>
    <t>のでご了承ください。</t>
  </si>
  <si>
    <t>AKC様式28</t>
  </si>
  <si>
    <t>工事取りやめ届</t>
  </si>
  <si>
    <t>下記の通り工事を取りやめたので届けます。</t>
  </si>
  <si>
    <t>確認済証
交付年月日</t>
  </si>
  <si>
    <t>取りやめた年月日</t>
  </si>
  <si>
    <t>取りやめの理由</t>
  </si>
  <si>
    <t>工事を取りやめた場合、後日同じ申請をされたとしても原則あらためて申請手数料が発生します</t>
  </si>
  <si>
    <t>AKC様式33</t>
  </si>
  <si>
    <t>中間・完了検査申請取り下げ届</t>
  </si>
  <si>
    <t>に申し込みました中間・完了検査の申請については、都合</t>
  </si>
  <si>
    <t>により株式会社愛知建築センター業務約款第19条又は第27条の規定により取り下げます。</t>
  </si>
  <si>
    <t>証　　明　　願</t>
  </si>
  <si>
    <t>確認申請に関する下記について証明してください。</t>
  </si>
  <si>
    <t>証明理由</t>
  </si>
  <si>
    <t>令和　  　年  　　月　　  日</t>
    <phoneticPr fontId="116"/>
  </si>
  <si>
    <t>令和　　年　　月　　　日</t>
    <rPh sb="0" eb="2">
      <t>レイワ</t>
    </rPh>
    <rPh sb="4" eb="5">
      <t>ネン</t>
    </rPh>
    <rPh sb="7" eb="8">
      <t>ガツ</t>
    </rPh>
    <rPh sb="11" eb="12">
      <t>ニチ</t>
    </rPh>
    <phoneticPr fontId="116"/>
  </si>
  <si>
    <t>第　愛建</t>
    <phoneticPr fontId="116"/>
  </si>
  <si>
    <t>建築確認</t>
    <rPh sb="0" eb="2">
      <t>ケンチク</t>
    </rPh>
    <rPh sb="2" eb="4">
      <t>カクニン</t>
    </rPh>
    <phoneticPr fontId="116"/>
  </si>
  <si>
    <t>号</t>
    <rPh sb="0" eb="1">
      <t>ゴウ</t>
    </rPh>
    <phoneticPr fontId="116"/>
  </si>
  <si>
    <t>令和　年　月　日</t>
    <rPh sb="0" eb="2">
      <t>レイワ</t>
    </rPh>
    <rPh sb="3" eb="4">
      <t>ネン</t>
    </rPh>
    <rPh sb="5" eb="6">
      <t>ガツ</t>
    </rPh>
    <rPh sb="7" eb="8">
      <t>ヒ</t>
    </rPh>
    <phoneticPr fontId="116"/>
  </si>
  <si>
    <t>□は選択するものをプルダウンで選んでください。</t>
    <rPh sb="2" eb="4">
      <t>センタク</t>
    </rPh>
    <rPh sb="15" eb="16">
      <t>エラ</t>
    </rPh>
    <phoneticPr fontId="116"/>
  </si>
  <si>
    <t>2枚目（協会返送用）には自動で入力がされます。</t>
    <rPh sb="1" eb="3">
      <t>マイメ</t>
    </rPh>
    <rPh sb="4" eb="6">
      <t>キョウカイ</t>
    </rPh>
    <rPh sb="6" eb="9">
      <t>ヘンソウヨウ</t>
    </rPh>
    <rPh sb="12" eb="14">
      <t>ジドウ</t>
    </rPh>
    <rPh sb="15" eb="17">
      <t>ニュウリョク</t>
    </rPh>
    <phoneticPr fontId="116"/>
  </si>
  <si>
    <t>※1</t>
    <phoneticPr fontId="116"/>
  </si>
  <si>
    <t>欄の必要個所に入力をお願いします。</t>
    <rPh sb="0" eb="1">
      <t>ラン</t>
    </rPh>
    <rPh sb="2" eb="4">
      <t>ヒツヨウ</t>
    </rPh>
    <rPh sb="4" eb="6">
      <t>カショ</t>
    </rPh>
    <rPh sb="7" eb="9">
      <t>ニュウリョク</t>
    </rPh>
    <rPh sb="11" eb="12">
      <t>ネガ</t>
    </rPh>
    <phoneticPr fontId="116"/>
  </si>
  <si>
    <t>日付入力欄は　2024/1/1　のように入力してください。和暦に自動で変換されます。</t>
    <rPh sb="0" eb="2">
      <t>ヒヅケ</t>
    </rPh>
    <rPh sb="2" eb="4">
      <t>ニュウリョク</t>
    </rPh>
    <rPh sb="4" eb="5">
      <t>ラン</t>
    </rPh>
    <rPh sb="20" eb="22">
      <t>ニュウリョク</t>
    </rPh>
    <rPh sb="29" eb="31">
      <t>ワレキ</t>
    </rPh>
    <rPh sb="32" eb="34">
      <t>ジドウ</t>
    </rPh>
    <rPh sb="35" eb="37">
      <t>ヘンカン</t>
    </rPh>
    <phoneticPr fontId="1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</si>
</sst>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yyyy/m/d;@"/>
    <numFmt numFmtId="177" formatCode="#,##0.00_ "/>
    <numFmt numFmtId="178" formatCode="#,##0.000_ "/>
    <numFmt numFmtId="179" formatCode="0.00_ "/>
    <numFmt numFmtId="180" formatCode="0000"/>
    <numFmt numFmtId="181" formatCode="#,##0_ "/>
    <numFmt numFmtId="182" formatCode="[$-411]ggge&quot;年&quot;m&quot;月&quot;d&quot;日&quot;;@"/>
    <numFmt numFmtId="183" formatCode="#,##0.00_);[Red]\(#,##0.00\)"/>
    <numFmt numFmtId="184" formatCode="0_ "/>
    <numFmt numFmtId="185" formatCode="yyyy/mm/dd"/>
    <numFmt numFmtId="186" formatCode="[$-411]ggge&quot;年&quot;mm&quot;月&quot;dd&quot;日 ( &quot;aaa&quot; )&quot;;@"/>
    <numFmt numFmtId="187" formatCode="[$-F800]dddd\,\ mmmm\ dd\,\ yyyy"/>
    <numFmt numFmtId="188" formatCode="m"/>
    <numFmt numFmtId="189" formatCode="d"/>
    <numFmt numFmtId="190" formatCode="[$-411]ggge&quot;年&quot;mm&quot;月&quot;dd&quot;日&quot;;@"/>
    <numFmt numFmtId="191" formatCode="ggg"/>
    <numFmt numFmtId="192" formatCode="e"/>
    <numFmt numFmtId="193" formatCode="yyyy"/>
    <numFmt numFmtId="194" formatCode="#,##0_);[Red]\(#,##0\)"/>
    <numFmt numFmtId="195" formatCode="0_);[Red]\(0\)"/>
    <numFmt numFmtId="196" formatCode="0.0_);[Red]\(0.0\)"/>
    <numFmt numFmtId="197" formatCode="0.00_);[Red]\(0.00\)"/>
    <numFmt numFmtId="205" formatCode="[$-800411]ggge&quot;年&quot;m&quot;月&quot;d&quot;日&quot;;@"/>
  </numFmts>
  <fonts count="118">
    <font>
      <sz val="11"/>
      <color theme="1"/>
      <name val="ＭＳ Ｐゴシック"/>
      <charset val="128"/>
    </font>
    <font>
      <sz val="11"/>
      <color theme="1"/>
      <name val="Yu Gothic"/>
      <charset val="128"/>
    </font>
    <font>
      <sz val="11"/>
      <color theme="1"/>
      <name val="ＭＳ Ｐゴシック"/>
      <charset val="128"/>
      <scheme val="minor"/>
    </font>
    <font>
      <sz val="11"/>
      <color indexed="8"/>
      <name val="ＭＳ Ｐゴシック"/>
      <charset val="128"/>
    </font>
    <font>
      <sz val="11"/>
      <color theme="1"/>
      <name val="ＭＳ Ｐゴシック"/>
      <charset val="128"/>
    </font>
    <font>
      <sz val="10"/>
      <color theme="1"/>
      <name val="ＭＳ Ｐゴシック"/>
      <charset val="128"/>
    </font>
    <font>
      <sz val="12"/>
      <color theme="1"/>
      <name val="ＭＳ Ｐゴシック"/>
      <charset val="128"/>
    </font>
    <font>
      <sz val="9"/>
      <color theme="1"/>
      <name val="ＭＳ Ｐゴシック"/>
      <charset val="128"/>
    </font>
    <font>
      <sz val="9"/>
      <color theme="1"/>
      <name val="ＭＳ Ｐ明朝"/>
      <charset val="128"/>
    </font>
    <font>
      <sz val="11"/>
      <color theme="1"/>
      <name val="ＭＳ Ｐ明朝"/>
      <charset val="128"/>
    </font>
    <font>
      <sz val="10"/>
      <color theme="1"/>
      <name val="ＭＳ Ｐ明朝"/>
      <charset val="128"/>
    </font>
    <font>
      <sz val="8"/>
      <color theme="1"/>
      <name val="ＭＳ Ｐ明朝"/>
      <charset val="128"/>
    </font>
    <font>
      <sz val="14"/>
      <color theme="1"/>
      <name val="ＭＳ Ｐ明朝"/>
      <charset val="128"/>
    </font>
    <font>
      <sz val="6"/>
      <color theme="1"/>
      <name val="ＭＳ Ｐ明朝"/>
      <charset val="128"/>
    </font>
    <font>
      <sz val="12"/>
      <color indexed="8"/>
      <name val="ＭＳ 明朝"/>
      <charset val="128"/>
    </font>
    <font>
      <sz val="12"/>
      <color theme="1"/>
      <name val="ＭＳ 明朝"/>
      <charset val="128"/>
    </font>
    <font>
      <sz val="7.5"/>
      <color theme="1"/>
      <name val="ＭＳ Ｐ明朝"/>
      <charset val="128"/>
    </font>
    <font>
      <sz val="11"/>
      <color indexed="8"/>
      <name val="ＭＳ 明朝"/>
      <charset val="128"/>
    </font>
    <font>
      <sz val="11"/>
      <color theme="1"/>
      <name val="ＭＳ 明朝"/>
      <charset val="128"/>
    </font>
    <font>
      <sz val="10"/>
      <color theme="1"/>
      <name val="ＭＳ 明朝"/>
      <charset val="128"/>
    </font>
    <font>
      <sz val="10"/>
      <color indexed="8"/>
      <name val="ＭＳ 明朝"/>
      <charset val="128"/>
    </font>
    <font>
      <sz val="9"/>
      <color indexed="10"/>
      <name val="ＭＳ Ｐゴシック"/>
      <charset val="128"/>
    </font>
    <font>
      <sz val="10.5"/>
      <color theme="1"/>
      <name val="ＭＳ 明朝"/>
      <charset val="128"/>
    </font>
    <font>
      <sz val="9"/>
      <color indexed="8"/>
      <name val="ＭＳ Ｐゴシック"/>
      <charset val="128"/>
    </font>
    <font>
      <sz val="9"/>
      <color indexed="81"/>
      <name val="ＭＳ Ｐゴシック"/>
      <charset val="128"/>
    </font>
    <font>
      <b/>
      <sz val="12"/>
      <color theme="1"/>
      <name val="ＭＳ Ｐ明朝"/>
      <charset val="128"/>
    </font>
    <font>
      <b/>
      <sz val="10"/>
      <color theme="1"/>
      <name val="ＭＳ Ｐ明朝"/>
      <charset val="128"/>
    </font>
    <font>
      <sz val="10"/>
      <color rgb="FFFF0000"/>
      <name val="ＭＳ Ｐゴシック"/>
      <charset val="128"/>
    </font>
    <font>
      <u/>
      <sz val="11"/>
      <color theme="10"/>
      <name val="ＭＳ Ｐゴシック"/>
      <charset val="128"/>
      <scheme val="minor"/>
    </font>
    <font>
      <sz val="9"/>
      <color indexed="9"/>
      <name val="ＭＳ Ｐゴシック"/>
      <charset val="128"/>
    </font>
    <font>
      <b/>
      <sz val="18"/>
      <color indexed="56"/>
      <name val="ＭＳ Ｐゴシック"/>
      <charset val="128"/>
    </font>
    <font>
      <b/>
      <sz val="9"/>
      <color indexed="9"/>
      <name val="ＭＳ Ｐゴシック"/>
      <charset val="128"/>
    </font>
    <font>
      <sz val="9"/>
      <color indexed="60"/>
      <name val="ＭＳ Ｐゴシック"/>
      <charset val="128"/>
    </font>
    <font>
      <sz val="9"/>
      <color indexed="52"/>
      <name val="ＭＳ Ｐゴシック"/>
      <charset val="128"/>
    </font>
    <font>
      <sz val="9"/>
      <color indexed="20"/>
      <name val="ＭＳ Ｐゴシック"/>
      <charset val="128"/>
    </font>
    <font>
      <b/>
      <sz val="9"/>
      <color indexed="52"/>
      <name val="ＭＳ Ｐゴシック"/>
      <charset val="128"/>
    </font>
    <font>
      <b/>
      <sz val="15"/>
      <color indexed="56"/>
      <name val="ＭＳ Ｐゴシック"/>
      <charset val="128"/>
    </font>
    <font>
      <b/>
      <sz val="13"/>
      <color indexed="56"/>
      <name val="ＭＳ Ｐゴシック"/>
      <charset val="128"/>
    </font>
    <font>
      <b/>
      <sz val="11"/>
      <color indexed="56"/>
      <name val="ＭＳ Ｐゴシック"/>
      <charset val="128"/>
    </font>
    <font>
      <b/>
      <sz val="9"/>
      <color indexed="8"/>
      <name val="ＭＳ Ｐゴシック"/>
      <charset val="128"/>
    </font>
    <font>
      <b/>
      <sz val="9"/>
      <color indexed="63"/>
      <name val="ＭＳ Ｐゴシック"/>
      <charset val="128"/>
    </font>
    <font>
      <i/>
      <sz val="9"/>
      <color indexed="23"/>
      <name val="ＭＳ Ｐゴシック"/>
      <charset val="128"/>
    </font>
    <font>
      <sz val="9"/>
      <color indexed="62"/>
      <name val="ＭＳ Ｐゴシック"/>
      <charset val="128"/>
    </font>
    <font>
      <sz val="9"/>
      <color indexed="17"/>
      <name val="ＭＳ Ｐゴシック"/>
      <charset val="128"/>
    </font>
    <font>
      <b/>
      <sz val="11"/>
      <color theme="1"/>
      <name val="ＭＳ Ｐ明朝"/>
      <charset val="128"/>
    </font>
    <font>
      <sz val="10"/>
      <color indexed="8"/>
      <name val="ＭＳ Ｐゴシック"/>
      <charset val="128"/>
    </font>
    <font>
      <sz val="9"/>
      <color theme="1"/>
      <name val="HG丸ｺﾞｼｯｸM-PRO"/>
      <charset val="128"/>
    </font>
    <font>
      <u/>
      <sz val="7.15"/>
      <color rgb="FFFF0000"/>
      <name val="HG丸ｺﾞｼｯｸM-PRO"/>
      <charset val="128"/>
    </font>
    <font>
      <sz val="9"/>
      <color rgb="FF000000"/>
      <name val="HG丸ｺﾞｼｯｸM-PRO"/>
      <charset val="128"/>
    </font>
    <font>
      <sz val="11"/>
      <color theme="1"/>
      <name val="HG丸ｺﾞｼｯｸM-PRO"/>
      <charset val="128"/>
    </font>
    <font>
      <b/>
      <sz val="9"/>
      <color theme="1"/>
      <name val="HG丸ｺﾞｼｯｸM-PRO"/>
      <charset val="128"/>
    </font>
    <font>
      <sz val="8"/>
      <color theme="1"/>
      <name val="HG丸ｺﾞｼｯｸM-PRO"/>
      <charset val="128"/>
    </font>
    <font>
      <sz val="8"/>
      <color rgb="FF000000"/>
      <name val="HG丸ｺﾞｼｯｸM-PRO"/>
      <charset val="128"/>
    </font>
    <font>
      <sz val="8"/>
      <color rgb="FF333333"/>
      <name val="HG丸ｺﾞｼｯｸM-PRO"/>
      <charset val="128"/>
    </font>
    <font>
      <sz val="10"/>
      <color theme="1"/>
      <name val="HG丸ｺﾞｼｯｸM-PRO"/>
      <charset val="128"/>
    </font>
    <font>
      <sz val="10"/>
      <color rgb="FF000000"/>
      <name val="HG丸ｺﾞｼｯｸM-PRO"/>
      <charset val="128"/>
    </font>
    <font>
      <sz val="14"/>
      <color theme="1"/>
      <name val="HG丸ｺﾞｼｯｸM-PRO"/>
      <charset val="128"/>
    </font>
    <font>
      <sz val="11"/>
      <color rgb="FFFF0000"/>
      <name val="ＭＳ Ｐゴシック"/>
      <charset val="128"/>
    </font>
    <font>
      <sz val="10.5"/>
      <color theme="1"/>
      <name val="ＭＳ Ｐゴシック"/>
      <charset val="128"/>
    </font>
    <font>
      <u/>
      <sz val="11"/>
      <color indexed="12"/>
      <name val="ＭＳ Ｐゴシック"/>
      <charset val="128"/>
    </font>
    <font>
      <sz val="11"/>
      <color indexed="9"/>
      <name val="ＭＳ Ｐゴシック"/>
      <charset val="128"/>
    </font>
    <font>
      <b/>
      <sz val="11"/>
      <color indexed="9"/>
      <name val="ＭＳ Ｐゴシック"/>
      <charset val="128"/>
    </font>
    <font>
      <sz val="11"/>
      <color indexed="60"/>
      <name val="ＭＳ Ｐゴシック"/>
      <charset val="128"/>
    </font>
    <font>
      <sz val="11"/>
      <color indexed="52"/>
      <name val="ＭＳ Ｐゴシック"/>
      <charset val="128"/>
    </font>
    <font>
      <sz val="11"/>
      <color indexed="20"/>
      <name val="ＭＳ Ｐゴシック"/>
      <charset val="128"/>
    </font>
    <font>
      <b/>
      <sz val="11"/>
      <color indexed="52"/>
      <name val="ＭＳ Ｐゴシック"/>
      <charset val="128"/>
    </font>
    <font>
      <sz val="11"/>
      <color indexed="10"/>
      <name val="ＭＳ Ｐゴシック"/>
      <charset val="128"/>
    </font>
    <font>
      <b/>
      <sz val="11"/>
      <color indexed="8"/>
      <name val="ＭＳ Ｐゴシック"/>
      <charset val="128"/>
    </font>
    <font>
      <b/>
      <sz val="11"/>
      <color indexed="63"/>
      <name val="ＭＳ Ｐゴシック"/>
      <charset val="128"/>
    </font>
    <font>
      <i/>
      <sz val="11"/>
      <color indexed="23"/>
      <name val="ＭＳ Ｐゴシック"/>
      <charset val="128"/>
    </font>
    <font>
      <sz val="11"/>
      <color indexed="62"/>
      <name val="ＭＳ Ｐゴシック"/>
      <charset val="128"/>
    </font>
    <font>
      <sz val="11"/>
      <color indexed="17"/>
      <name val="ＭＳ Ｐゴシック"/>
      <charset val="128"/>
    </font>
    <font>
      <sz val="9"/>
      <color indexed="8"/>
      <name val="ＭＳ Ｐ明朝"/>
      <charset val="128"/>
    </font>
    <font>
      <b/>
      <sz val="20"/>
      <color theme="1"/>
      <name val="ＭＳ Ｐ明朝"/>
      <charset val="128"/>
    </font>
    <font>
      <b/>
      <sz val="14"/>
      <color theme="1"/>
      <name val="ＭＳ Ｐ明朝"/>
      <charset val="128"/>
    </font>
    <font>
      <b/>
      <sz val="16"/>
      <color theme="1"/>
      <name val="ＭＳ Ｐ明朝"/>
      <charset val="128"/>
    </font>
    <font>
      <sz val="12"/>
      <color theme="1"/>
      <name val="ＭＳ Ｐ明朝"/>
      <charset val="128"/>
    </font>
    <font>
      <sz val="10.5"/>
      <color rgb="FF000000"/>
      <name val="ＭＳ Ｐ明朝"/>
      <charset val="128"/>
    </font>
    <font>
      <sz val="11"/>
      <color rgb="FF000000"/>
      <name val="ＭＳ Ｐ明朝"/>
      <charset val="128"/>
    </font>
    <font>
      <sz val="10"/>
      <color rgb="FF000000"/>
      <name val="ＭＳ Ｐ明朝"/>
      <charset val="128"/>
    </font>
    <font>
      <b/>
      <sz val="11"/>
      <color theme="1"/>
      <name val="ＭＳ Ｐゴシック"/>
      <charset val="128"/>
      <scheme val="minor"/>
    </font>
    <font>
      <sz val="16"/>
      <color theme="1"/>
      <name val="ＭＳ Ｐ明朝"/>
      <charset val="128"/>
    </font>
    <font>
      <b/>
      <sz val="20"/>
      <color theme="1"/>
      <name val="ＭＳ Ｐゴシック"/>
      <charset val="128"/>
      <scheme val="minor"/>
    </font>
    <font>
      <sz val="28"/>
      <color theme="1"/>
      <name val="ＭＳ Ｐゴシック"/>
      <charset val="128"/>
      <scheme val="minor"/>
    </font>
    <font>
      <b/>
      <sz val="16"/>
      <color theme="1"/>
      <name val="HG丸ｺﾞｼｯｸM-PRO"/>
      <charset val="128"/>
    </font>
    <font>
      <sz val="16"/>
      <color theme="1"/>
      <name val="HG丸ｺﾞｼｯｸM-PRO"/>
      <charset val="128"/>
    </font>
    <font>
      <sz val="12"/>
      <color theme="1"/>
      <name val="HG丸ｺﾞｼｯｸM-PRO"/>
      <charset val="128"/>
    </font>
    <font>
      <b/>
      <sz val="14"/>
      <color theme="1"/>
      <name val="HG丸ｺﾞｼｯｸM-PRO"/>
      <charset val="128"/>
    </font>
    <font>
      <b/>
      <sz val="12"/>
      <color theme="1"/>
      <name val="HG丸ｺﾞｼｯｸM-PRO"/>
      <charset val="128"/>
    </font>
    <font>
      <b/>
      <sz val="9"/>
      <color indexed="81"/>
      <name val="ＭＳ Ｐゴシック"/>
      <charset val="128"/>
    </font>
    <font>
      <b/>
      <sz val="18"/>
      <color theme="1"/>
      <name val="ＭＳ ゴシック"/>
      <charset val="128"/>
    </font>
    <font>
      <b/>
      <sz val="14"/>
      <color theme="1"/>
      <name val="ＭＳ Ｐゴシック"/>
      <charset val="128"/>
      <scheme val="minor"/>
    </font>
    <font>
      <sz val="10.5"/>
      <color theme="1"/>
      <name val="游ゴシック"/>
      <charset val="128"/>
    </font>
    <font>
      <sz val="9"/>
      <color theme="1"/>
      <name val="ＭＳ 明朝"/>
      <charset val="128"/>
    </font>
    <font>
      <sz val="12"/>
      <color indexed="81"/>
      <name val="ＭＳ Ｐゴシック"/>
      <charset val="128"/>
      <scheme val="minor"/>
    </font>
    <font>
      <b/>
      <sz val="12"/>
      <color theme="1"/>
      <name val="ＭＳ Ｐゴシック"/>
      <charset val="128"/>
      <scheme val="minor"/>
    </font>
    <font>
      <sz val="10"/>
      <color rgb="FF000000"/>
      <name val="Times New Roman"/>
    </font>
    <font>
      <sz val="11"/>
      <color theme="1"/>
      <name val="MS PGothic"/>
      <charset val="128"/>
    </font>
    <font>
      <sz val="11"/>
      <color theme="1"/>
      <name val="MS PGothic"/>
      <family val="3"/>
      <charset val="128"/>
    </font>
    <font>
      <sz val="12"/>
      <color theme="1"/>
      <name val="MS PGothic"/>
      <charset val="128"/>
    </font>
    <font>
      <sz val="12"/>
      <color theme="1"/>
      <name val="MS PGothic"/>
      <family val="3"/>
      <charset val="128"/>
    </font>
    <font>
      <sz val="16"/>
      <color theme="1"/>
      <name val="MS PGothic"/>
      <charset val="128"/>
    </font>
    <font>
      <sz val="10.5"/>
      <color theme="1"/>
      <name val="MS PGothic"/>
      <charset val="128"/>
    </font>
    <font>
      <sz val="10.5"/>
      <color theme="1"/>
      <name val="MS PGothic"/>
      <family val="3"/>
      <charset val="128"/>
    </font>
    <font>
      <sz val="20"/>
      <color theme="1"/>
      <name val="MS PGothic"/>
      <charset val="128"/>
    </font>
    <font>
      <b/>
      <sz val="11"/>
      <color theme="1"/>
      <name val="MS PGothic"/>
      <charset val="128"/>
    </font>
    <font>
      <b/>
      <sz val="11"/>
      <color rgb="FFFF0000"/>
      <name val="MS PGothic"/>
      <family val="3"/>
      <charset val="128"/>
    </font>
    <font>
      <b/>
      <sz val="11"/>
      <color theme="1"/>
      <name val="MS PGothic"/>
      <family val="3"/>
      <charset val="128"/>
    </font>
    <font>
      <sz val="11"/>
      <color theme="1"/>
      <name val="Segoe UI Symbol"/>
    </font>
    <font>
      <b/>
      <sz val="16"/>
      <color theme="1"/>
      <name val="MS PGothic"/>
      <charset val="128"/>
    </font>
    <font>
      <b/>
      <sz val="16"/>
      <color theme="1"/>
      <name val="MS PGothic"/>
      <family val="3"/>
      <charset val="128"/>
    </font>
    <font>
      <b/>
      <sz val="12"/>
      <color theme="1"/>
      <name val="MS PGothic"/>
      <charset val="128"/>
    </font>
    <font>
      <b/>
      <sz val="12"/>
      <color theme="1"/>
      <name val="MS PGothic"/>
      <family val="3"/>
      <charset val="128"/>
    </font>
    <font>
      <sz val="12"/>
      <color theme="1"/>
      <name val="Segoe UI Symbol"/>
    </font>
    <font>
      <sz val="16"/>
      <color theme="1"/>
      <name val="MS PGothic"/>
      <family val="3"/>
      <charset val="128"/>
    </font>
    <font>
      <sz val="20"/>
      <color theme="1"/>
      <name val="MS PGothic"/>
      <family val="3"/>
      <charset val="128"/>
    </font>
    <font>
      <sz val="6"/>
      <name val="ＭＳ Ｐゴシック"/>
      <charset val="128"/>
    </font>
    <font>
      <sz val="9"/>
      <color theme="1"/>
      <name val="ＭＳ Ｐ明朝"/>
      <family val="1"/>
      <charset val="128"/>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patternFill>
    </fill>
    <fill>
      <patternFill patternType="solid">
        <fgColor indexed="14"/>
      </patternFill>
    </fill>
    <fill>
      <patternFill patternType="solid">
        <fgColor indexed="15"/>
      </patternFill>
    </fill>
    <fill>
      <patternFill patternType="solid">
        <fgColor indexed="12"/>
      </patternFill>
    </fill>
    <fill>
      <patternFill patternType="solid">
        <fgColor indexed="42"/>
        <bgColor indexed="64"/>
      </patternFill>
    </fill>
    <fill>
      <patternFill patternType="solid">
        <fgColor indexed="43"/>
        <bgColor indexed="64"/>
      </patternFill>
    </fill>
    <fill>
      <patternFill patternType="solid">
        <fgColor indexed="50"/>
        <bgColor indexed="64"/>
      </patternFill>
    </fill>
    <fill>
      <patternFill patternType="solid">
        <fgColor indexed="44"/>
        <bgColor indexed="64"/>
      </patternFill>
    </fill>
    <fill>
      <patternFill patternType="solid">
        <fgColor indexed="52"/>
        <bgColor indexed="64"/>
      </patternFill>
    </fill>
    <fill>
      <patternFill patternType="solid">
        <fgColor indexed="29"/>
        <bgColor indexed="64"/>
      </patternFill>
    </fill>
    <fill>
      <patternFill patternType="solid">
        <fgColor rgb="FFCCFFCC"/>
        <bgColor indexed="64"/>
      </patternFill>
    </fill>
    <fill>
      <patternFill patternType="solid">
        <fgColor rgb="FFCCFFFF"/>
        <bgColor indexed="64"/>
      </patternFill>
    </fill>
    <fill>
      <patternFill patternType="solid">
        <fgColor rgb="FFFF99CC"/>
        <bgColor indexed="64"/>
      </patternFill>
    </fill>
    <fill>
      <patternFill patternType="solid">
        <fgColor rgb="FFFFFF99"/>
        <bgColor indexed="64"/>
      </patternFill>
    </fill>
    <fill>
      <patternFill patternType="solid">
        <fgColor rgb="FF00FF00"/>
        <bgColor indexed="64"/>
      </patternFill>
    </fill>
    <fill>
      <patternFill patternType="solid">
        <fgColor rgb="FF99CCFF"/>
        <bgColor indexed="64"/>
      </patternFill>
    </fill>
    <fill>
      <patternFill patternType="solid">
        <fgColor rgb="FF99CC0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BCD6ED"/>
      </patternFill>
    </fill>
    <fill>
      <patternFill patternType="solid">
        <fgColor rgb="FF9BC2E6"/>
      </patternFill>
    </fill>
    <fill>
      <patternFill patternType="solid">
        <fgColor rgb="FF3399FF"/>
      </patternFill>
    </fill>
    <fill>
      <patternFill patternType="solid">
        <fgColor rgb="FFB7ECFF"/>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26"/>
      </top>
      <bottom style="double">
        <color indexed="26"/>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FF"/>
      </left>
      <right style="thin">
        <color rgb="FF0000FF"/>
      </right>
      <top/>
      <bottom style="thin">
        <color rgb="FF0000FF"/>
      </bottom>
      <diagonal/>
    </border>
    <border>
      <left style="hair">
        <color auto="1"/>
      </left>
      <right style="hair">
        <color auto="1"/>
      </right>
      <top style="hair">
        <color auto="1"/>
      </top>
      <bottom style="hair">
        <color auto="1"/>
      </bottom>
      <diagonal/>
    </border>
    <border>
      <left style="thin">
        <color rgb="FF0000FF"/>
      </left>
      <right style="hair">
        <color auto="1"/>
      </right>
      <top style="hair">
        <color auto="1"/>
      </top>
      <bottom/>
      <diagonal/>
    </border>
    <border>
      <left style="thin">
        <color rgb="FF0000FF"/>
      </left>
      <right style="hair">
        <color auto="1"/>
      </right>
      <top/>
      <bottom/>
      <diagonal/>
    </border>
    <border>
      <left style="thin">
        <color rgb="FF0000FF"/>
      </left>
      <right style="hair">
        <color auto="1"/>
      </right>
      <top/>
      <bottom style="hair">
        <color auto="1"/>
      </bottom>
      <diagonal/>
    </border>
    <border>
      <left style="hair">
        <color auto="1"/>
      </left>
      <right style="hair">
        <color auto="1"/>
      </right>
      <top style="hair">
        <color auto="1"/>
      </top>
      <bottom style="thin">
        <color rgb="FF0000FF"/>
      </bottom>
      <diagonal/>
    </border>
    <border>
      <left/>
      <right style="thin">
        <color auto="1"/>
      </right>
      <top/>
      <bottom style="hair">
        <color indexed="64"/>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right/>
      <top/>
      <bottom style="thin">
        <color auto="1"/>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right/>
      <top style="thin">
        <color indexed="64"/>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rgb="FF000000"/>
      </left>
      <right/>
      <top style="thin">
        <color indexed="64"/>
      </top>
      <bottom/>
      <diagonal/>
    </border>
    <border>
      <left style="thin">
        <color indexed="64"/>
      </left>
      <right style="hair">
        <color indexed="64"/>
      </right>
      <top/>
      <bottom/>
      <diagonal/>
    </border>
    <border>
      <left/>
      <right/>
      <top/>
      <bottom style="thin">
        <color theme="0" tint="-0.24994659260841701"/>
      </bottom>
      <diagonal/>
    </border>
    <border>
      <left/>
      <right/>
      <top/>
      <bottom style="thin">
        <color theme="0" tint="-0.249977111117893"/>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auto="1"/>
      </left>
      <right/>
      <top style="dotted">
        <color auto="1"/>
      </top>
      <bottom style="dotted">
        <color auto="1"/>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style="dotted">
        <color indexed="64"/>
      </bottom>
      <diagonal/>
    </border>
    <border>
      <left style="dotted">
        <color auto="1"/>
      </left>
      <right style="dotted">
        <color auto="1"/>
      </right>
      <top/>
      <bottom style="dotted">
        <color auto="1"/>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right style="thin">
        <color indexed="64"/>
      </right>
      <top style="thin">
        <color indexed="64"/>
      </top>
      <bottom/>
      <diagonal/>
    </border>
    <border>
      <left/>
      <right/>
      <top style="thin">
        <color indexed="64"/>
      </top>
      <bottom/>
      <diagonal/>
    </border>
  </borders>
  <cellStyleXfs count="1544">
    <xf numFmtId="0" fontId="0" fillId="0" borderId="0">
      <alignment vertical="center"/>
    </xf>
    <xf numFmtId="0" fontId="2" fillId="0" borderId="0">
      <alignment vertical="center"/>
    </xf>
    <xf numFmtId="0" fontId="28" fillId="0" borderId="0" applyNumberFormat="0" applyAlignment="0" applyProtection="0">
      <alignment vertical="center"/>
    </xf>
    <xf numFmtId="0" fontId="4" fillId="0" borderId="0">
      <alignment vertical="center"/>
    </xf>
    <xf numFmtId="0" fontId="7" fillId="0" borderId="0">
      <alignment vertical="center"/>
    </xf>
    <xf numFmtId="0" fontId="23" fillId="2" borderId="0" applyNumberFormat="0" applyAlignment="0" applyProtection="0">
      <alignment vertical="center"/>
    </xf>
    <xf numFmtId="0" fontId="23" fillId="3" borderId="0" applyNumberFormat="0" applyAlignment="0" applyProtection="0">
      <alignment vertical="center"/>
    </xf>
    <xf numFmtId="0" fontId="23" fillId="4" borderId="0" applyNumberFormat="0" applyAlignment="0" applyProtection="0">
      <alignment vertical="center"/>
    </xf>
    <xf numFmtId="0" fontId="23" fillId="5" borderId="0" applyNumberFormat="0" applyAlignment="0" applyProtection="0">
      <alignment vertical="center"/>
    </xf>
    <xf numFmtId="0" fontId="23" fillId="6" borderId="0" applyNumberFormat="0" applyAlignment="0" applyProtection="0">
      <alignment vertical="center"/>
    </xf>
    <xf numFmtId="0" fontId="23" fillId="7" borderId="0" applyNumberFormat="0" applyAlignment="0" applyProtection="0">
      <alignment vertical="center"/>
    </xf>
    <xf numFmtId="0" fontId="23" fillId="8" borderId="0" applyNumberFormat="0" applyAlignment="0" applyProtection="0">
      <alignment vertical="center"/>
    </xf>
    <xf numFmtId="0" fontId="23" fillId="9" borderId="0" applyNumberFormat="0" applyAlignment="0" applyProtection="0">
      <alignment vertical="center"/>
    </xf>
    <xf numFmtId="0" fontId="23" fillId="10" borderId="0" applyNumberFormat="0" applyAlignment="0" applyProtection="0">
      <alignment vertical="center"/>
    </xf>
    <xf numFmtId="0" fontId="23" fillId="5" borderId="0" applyNumberFormat="0" applyAlignment="0" applyProtection="0">
      <alignment vertical="center"/>
    </xf>
    <xf numFmtId="0" fontId="23" fillId="8" borderId="0" applyNumberFormat="0" applyAlignment="0" applyProtection="0">
      <alignment vertical="center"/>
    </xf>
    <xf numFmtId="0" fontId="23" fillId="11" borderId="0" applyNumberFormat="0" applyAlignment="0" applyProtection="0">
      <alignment vertical="center"/>
    </xf>
    <xf numFmtId="0" fontId="29" fillId="12" borderId="0" applyNumberFormat="0" applyAlignment="0" applyProtection="0">
      <alignment vertical="center"/>
    </xf>
    <xf numFmtId="0" fontId="29" fillId="9" borderId="0" applyNumberFormat="0" applyAlignment="0" applyProtection="0">
      <alignment vertical="center"/>
    </xf>
    <xf numFmtId="0" fontId="29" fillId="10" borderId="0" applyNumberFormat="0" applyAlignment="0" applyProtection="0">
      <alignment vertical="center"/>
    </xf>
    <xf numFmtId="0" fontId="29" fillId="13" borderId="0" applyNumberFormat="0" applyAlignment="0" applyProtection="0">
      <alignment vertical="center"/>
    </xf>
    <xf numFmtId="0" fontId="29" fillId="14" borderId="0" applyNumberFormat="0" applyAlignment="0" applyProtection="0">
      <alignment vertical="center"/>
    </xf>
    <xf numFmtId="0" fontId="29" fillId="15" borderId="0" applyNumberFormat="0" applyAlignment="0" applyProtection="0">
      <alignment vertical="center"/>
    </xf>
    <xf numFmtId="0" fontId="29" fillId="16" borderId="0" applyNumberFormat="0" applyAlignment="0" applyProtection="0">
      <alignment vertical="center"/>
    </xf>
    <xf numFmtId="0" fontId="29" fillId="17" borderId="0" applyNumberFormat="0" applyAlignment="0" applyProtection="0">
      <alignment vertical="center"/>
    </xf>
    <xf numFmtId="0" fontId="29" fillId="18" borderId="0" applyNumberFormat="0" applyAlignment="0" applyProtection="0">
      <alignment vertical="center"/>
    </xf>
    <xf numFmtId="0" fontId="29" fillId="13" borderId="0" applyNumberFormat="0" applyAlignment="0" applyProtection="0">
      <alignment vertical="center"/>
    </xf>
    <xf numFmtId="0" fontId="29" fillId="14" borderId="0" applyNumberFormat="0" applyAlignment="0" applyProtection="0">
      <alignment vertical="center"/>
    </xf>
    <xf numFmtId="0" fontId="29" fillId="19" borderId="0" applyNumberFormat="0" applyAlignment="0" applyProtection="0">
      <alignment vertical="center"/>
    </xf>
    <xf numFmtId="0" fontId="30" fillId="0" borderId="0" applyNumberFormat="0" applyAlignment="0" applyProtection="0">
      <alignment vertical="center"/>
    </xf>
    <xf numFmtId="0" fontId="31" fillId="20" borderId="1" applyNumberFormat="0" applyAlignment="0" applyProtection="0">
      <alignment vertical="center"/>
    </xf>
    <xf numFmtId="0" fontId="32" fillId="21" borderId="0" applyNumberFormat="0" applyAlignment="0" applyProtection="0">
      <alignment vertical="center"/>
    </xf>
    <xf numFmtId="9" fontId="4" fillId="0" borderId="0" applyFont="0" applyAlignment="0" applyProtection="0"/>
    <xf numFmtId="0" fontId="23" fillId="22" borderId="2" applyNumberFormat="0" applyFont="0" applyAlignment="0" applyProtection="0">
      <alignment vertical="center"/>
    </xf>
    <xf numFmtId="0" fontId="33" fillId="0" borderId="3" applyNumberFormat="0" applyAlignment="0" applyProtection="0">
      <alignment vertical="center"/>
    </xf>
    <xf numFmtId="0" fontId="34" fillId="3" borderId="0" applyNumberFormat="0" applyAlignment="0" applyProtection="0">
      <alignment vertical="center"/>
    </xf>
    <xf numFmtId="0" fontId="35" fillId="23" borderId="4" applyNumberFormat="0" applyAlignment="0" applyProtection="0">
      <alignment vertical="center"/>
    </xf>
    <xf numFmtId="0" fontId="21" fillId="0" borderId="0" applyNumberFormat="0" applyAlignment="0" applyProtection="0">
      <alignment vertical="center"/>
    </xf>
    <xf numFmtId="38" fontId="4" fillId="0" borderId="0" applyFont="0" applyAlignment="0" applyProtection="0"/>
    <xf numFmtId="0" fontId="36" fillId="0" borderId="5" applyNumberFormat="0" applyAlignment="0" applyProtection="0">
      <alignment vertical="center"/>
    </xf>
    <xf numFmtId="0" fontId="37" fillId="0" borderId="6" applyNumberFormat="0" applyAlignment="0" applyProtection="0">
      <alignment vertical="center"/>
    </xf>
    <xf numFmtId="0" fontId="38" fillId="0" borderId="7" applyNumberFormat="0" applyAlignment="0" applyProtection="0">
      <alignment vertical="center"/>
    </xf>
    <xf numFmtId="0" fontId="38" fillId="0" borderId="0" applyNumberFormat="0" applyAlignment="0" applyProtection="0">
      <alignment vertical="center"/>
    </xf>
    <xf numFmtId="0" fontId="39" fillId="0" borderId="8" applyNumberFormat="0" applyAlignment="0" applyProtection="0">
      <alignment vertical="center"/>
    </xf>
    <xf numFmtId="0" fontId="40" fillId="23" borderId="9" applyNumberFormat="0" applyAlignment="0" applyProtection="0">
      <alignment vertical="center"/>
    </xf>
    <xf numFmtId="0" fontId="41" fillId="0" borderId="0" applyNumberFormat="0" applyAlignment="0" applyProtection="0">
      <alignment vertical="center"/>
    </xf>
    <xf numFmtId="6" fontId="7" fillId="0" borderId="0" applyFont="0" applyAlignment="0" applyProtection="0">
      <alignment vertical="center"/>
    </xf>
    <xf numFmtId="6" fontId="4" fillId="0" borderId="0" applyFont="0" applyAlignment="0" applyProtection="0"/>
    <xf numFmtId="0" fontId="42" fillId="7" borderId="4" applyNumberFormat="0" applyAlignment="0" applyProtection="0">
      <alignment vertical="center"/>
    </xf>
    <xf numFmtId="0" fontId="18" fillId="0" borderId="0"/>
    <xf numFmtId="0" fontId="4" fillId="0" borderId="0">
      <alignment vertical="center"/>
    </xf>
    <xf numFmtId="0" fontId="4" fillId="0" borderId="0"/>
    <xf numFmtId="0" fontId="4" fillId="0" borderId="0"/>
    <xf numFmtId="0" fontId="4" fillId="0" borderId="0">
      <alignment vertical="center"/>
    </xf>
    <xf numFmtId="0" fontId="43" fillId="4" borderId="0" applyNumberFormat="0" applyAlignment="0" applyProtection="0">
      <alignment vertical="center"/>
    </xf>
    <xf numFmtId="0" fontId="23" fillId="0" borderId="0">
      <alignment vertical="center"/>
    </xf>
    <xf numFmtId="0" fontId="4" fillId="0" borderId="0">
      <alignment vertical="center"/>
    </xf>
    <xf numFmtId="0" fontId="18" fillId="0" borderId="0"/>
    <xf numFmtId="0" fontId="4" fillId="0" borderId="0"/>
    <xf numFmtId="9" fontId="4" fillId="0" borderId="0" applyFont="0" applyAlignment="0" applyProtection="0"/>
    <xf numFmtId="9" fontId="4" fillId="0" borderId="0" applyFont="0" applyAlignment="0" applyProtection="0">
      <alignment vertical="center"/>
    </xf>
    <xf numFmtId="6" fontId="3" fillId="0" borderId="0" applyFont="0" applyAlignment="0" applyProtection="0">
      <alignment vertical="center"/>
    </xf>
    <xf numFmtId="6" fontId="3" fillId="0" borderId="0" applyFont="0" applyAlignment="0" applyProtection="0">
      <alignment vertical="center"/>
    </xf>
    <xf numFmtId="6" fontId="3" fillId="0" borderId="0" applyFont="0" applyAlignment="0" applyProtection="0">
      <alignment vertical="center"/>
    </xf>
    <xf numFmtId="6" fontId="3" fillId="0" borderId="0" applyFont="0" applyAlignment="0" applyProtection="0">
      <alignment vertical="center"/>
    </xf>
    <xf numFmtId="6" fontId="3" fillId="0" borderId="0" applyFont="0" applyAlignment="0" applyProtection="0">
      <alignment vertical="center"/>
    </xf>
    <xf numFmtId="6" fontId="4" fillId="0" borderId="0" applyFont="0" applyAlignment="0" applyProtection="0"/>
    <xf numFmtId="6" fontId="3" fillId="0" borderId="0" applyFont="0" applyAlignment="0" applyProtection="0">
      <alignment vertical="center"/>
    </xf>
    <xf numFmtId="6" fontId="4" fillId="0" borderId="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18" fillId="0" borderId="0"/>
    <xf numFmtId="0" fontId="4" fillId="0" borderId="0">
      <alignment vertical="center"/>
    </xf>
    <xf numFmtId="0" fontId="4" fillId="0" borderId="0">
      <alignment vertical="center"/>
    </xf>
    <xf numFmtId="0" fontId="4" fillId="0" borderId="0">
      <alignment vertical="center"/>
    </xf>
    <xf numFmtId="0" fontId="23" fillId="0" borderId="0">
      <alignment vertical="center"/>
    </xf>
    <xf numFmtId="0" fontId="18" fillId="0" borderId="0"/>
    <xf numFmtId="0" fontId="7" fillId="0" borderId="0">
      <alignment vertical="center"/>
    </xf>
    <xf numFmtId="0" fontId="4" fillId="0" borderId="0"/>
    <xf numFmtId="0" fontId="4" fillId="0" borderId="0"/>
    <xf numFmtId="0" fontId="4" fillId="0" borderId="0">
      <alignment vertical="center"/>
    </xf>
    <xf numFmtId="0" fontId="4" fillId="0" borderId="0"/>
    <xf numFmtId="0" fontId="59" fillId="0" borderId="0" applyNumberFormat="0" applyAlignment="0" applyProtection="0">
      <alignment vertical="top"/>
    </xf>
    <xf numFmtId="0" fontId="4" fillId="0" borderId="0"/>
    <xf numFmtId="0" fontId="23" fillId="2"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190" fontId="23" fillId="24" borderId="0" applyNumberFormat="0" applyAlignment="0" applyProtection="0">
      <alignment vertical="center"/>
    </xf>
    <xf numFmtId="190" fontId="23" fillId="24"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190" fontId="23" fillId="24" borderId="0" applyNumberFormat="0" applyAlignment="0" applyProtection="0">
      <alignment vertical="center"/>
    </xf>
    <xf numFmtId="190" fontId="23" fillId="24"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190" fontId="23" fillId="24" borderId="0" applyNumberFormat="0" applyAlignment="0" applyProtection="0">
      <alignment vertical="center"/>
    </xf>
    <xf numFmtId="190" fontId="23" fillId="24" borderId="0" applyNumberFormat="0" applyAlignment="0" applyProtection="0">
      <alignment vertical="center"/>
    </xf>
    <xf numFmtId="0" fontId="23" fillId="24" borderId="0" applyNumberFormat="0" applyAlignment="0" applyProtection="0">
      <alignment vertical="center"/>
    </xf>
    <xf numFmtId="190" fontId="23" fillId="24" borderId="0" applyNumberFormat="0" applyAlignment="0" applyProtection="0">
      <alignment vertical="center"/>
    </xf>
    <xf numFmtId="190" fontId="3" fillId="2" borderId="0" applyNumberFormat="0" applyAlignment="0" applyProtection="0">
      <alignment vertical="center"/>
    </xf>
    <xf numFmtId="0" fontId="3" fillId="2"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190" fontId="23" fillId="24" borderId="0" applyNumberFormat="0" applyAlignment="0" applyProtection="0">
      <alignment vertical="center"/>
    </xf>
    <xf numFmtId="190" fontId="3" fillId="2" borderId="0" applyNumberFormat="0" applyAlignment="0" applyProtection="0">
      <alignment vertical="center"/>
    </xf>
    <xf numFmtId="0" fontId="3" fillId="2"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190" fontId="23" fillId="24" borderId="0" applyNumberFormat="0" applyAlignment="0" applyProtection="0">
      <alignment vertical="center"/>
    </xf>
    <xf numFmtId="190" fontId="3" fillId="2" borderId="0" applyNumberFormat="0" applyAlignment="0" applyProtection="0">
      <alignment vertical="center"/>
    </xf>
    <xf numFmtId="0" fontId="3" fillId="2"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0" fontId="23" fillId="24" borderId="0" applyNumberFormat="0" applyAlignment="0" applyProtection="0">
      <alignment vertical="center"/>
    </xf>
    <xf numFmtId="190" fontId="23" fillId="24" borderId="0" applyNumberFormat="0" applyAlignment="0" applyProtection="0">
      <alignment vertical="center"/>
    </xf>
    <xf numFmtId="190" fontId="23" fillId="24" borderId="0" applyNumberFormat="0" applyAlignment="0" applyProtection="0">
      <alignment vertical="center"/>
    </xf>
    <xf numFmtId="0" fontId="23" fillId="2" borderId="0" applyNumberFormat="0" applyAlignment="0" applyProtection="0">
      <alignment vertical="center"/>
    </xf>
    <xf numFmtId="190" fontId="23" fillId="2" borderId="0" applyNumberFormat="0" applyAlignment="0" applyProtection="0">
      <alignment vertical="center"/>
    </xf>
    <xf numFmtId="0" fontId="23" fillId="2" borderId="0" applyNumberFormat="0" applyAlignment="0" applyProtection="0">
      <alignment vertical="center"/>
    </xf>
    <xf numFmtId="190" fontId="23" fillId="2" borderId="0" applyNumberFormat="0" applyAlignment="0" applyProtection="0">
      <alignment vertical="center"/>
    </xf>
    <xf numFmtId="0" fontId="3" fillId="2" borderId="0" applyNumberFormat="0" applyAlignment="0" applyProtection="0">
      <alignment vertical="center"/>
    </xf>
    <xf numFmtId="0" fontId="3" fillId="2" borderId="0" applyNumberFormat="0" applyAlignment="0" applyProtection="0">
      <alignment vertical="center"/>
    </xf>
    <xf numFmtId="0" fontId="23" fillId="2"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3" fillId="3" borderId="0" applyNumberFormat="0" applyAlignment="0" applyProtection="0">
      <alignment vertical="center"/>
    </xf>
    <xf numFmtId="0" fontId="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3" borderId="0" applyNumberFormat="0" applyAlignment="0" applyProtection="0">
      <alignment vertical="center"/>
    </xf>
    <xf numFmtId="0" fontId="3" fillId="3" borderId="0" applyNumberFormat="0" applyAlignment="0" applyProtection="0">
      <alignment vertical="center"/>
    </xf>
    <xf numFmtId="190" fontId="3" fillId="3" borderId="0" applyNumberFormat="0" applyAlignment="0" applyProtection="0">
      <alignment vertical="center"/>
    </xf>
    <xf numFmtId="0" fontId="3" fillId="3" borderId="0" applyNumberFormat="0" applyAlignment="0" applyProtection="0">
      <alignment vertical="center"/>
    </xf>
    <xf numFmtId="190" fontId="3" fillId="3" borderId="0" applyNumberFormat="0" applyAlignment="0" applyProtection="0">
      <alignment vertical="center"/>
    </xf>
    <xf numFmtId="0" fontId="3" fillId="3" borderId="0" applyNumberFormat="0" applyAlignment="0" applyProtection="0">
      <alignment vertical="center"/>
    </xf>
    <xf numFmtId="190" fontId="3" fillId="3" borderId="0" applyNumberFormat="0" applyAlignment="0" applyProtection="0">
      <alignment vertical="center"/>
    </xf>
    <xf numFmtId="0" fontId="3" fillId="3" borderId="0" applyNumberFormat="0" applyAlignment="0" applyProtection="0">
      <alignment vertical="center"/>
    </xf>
    <xf numFmtId="190" fontId="3" fillId="3" borderId="0" applyNumberFormat="0" applyAlignment="0" applyProtection="0">
      <alignment vertical="center"/>
    </xf>
    <xf numFmtId="190" fontId="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3" borderId="0" applyNumberFormat="0" applyAlignment="0" applyProtection="0">
      <alignment vertical="center"/>
    </xf>
    <xf numFmtId="0" fontId="3" fillId="3" borderId="0" applyNumberFormat="0" applyAlignment="0" applyProtection="0">
      <alignment vertical="center"/>
    </xf>
    <xf numFmtId="190" fontId="3" fillId="3" borderId="0" applyNumberFormat="0" applyAlignment="0" applyProtection="0">
      <alignment vertical="center"/>
    </xf>
    <xf numFmtId="0" fontId="3" fillId="3" borderId="0" applyNumberFormat="0" applyAlignment="0" applyProtection="0">
      <alignment vertical="center"/>
    </xf>
    <xf numFmtId="190" fontId="3" fillId="3" borderId="0" applyNumberFormat="0" applyAlignment="0" applyProtection="0">
      <alignment vertical="center"/>
    </xf>
    <xf numFmtId="0" fontId="3" fillId="3" borderId="0" applyNumberFormat="0" applyAlignment="0" applyProtection="0">
      <alignment vertical="center"/>
    </xf>
    <xf numFmtId="190" fontId="3" fillId="3" borderId="0" applyNumberFormat="0" applyAlignment="0" applyProtection="0">
      <alignment vertical="center"/>
    </xf>
    <xf numFmtId="0" fontId="3" fillId="3" borderId="0" applyNumberFormat="0" applyAlignment="0" applyProtection="0">
      <alignment vertical="center"/>
    </xf>
    <xf numFmtId="190" fontId="3" fillId="3" borderId="0" applyNumberFormat="0" applyAlignment="0" applyProtection="0">
      <alignment vertical="center"/>
    </xf>
    <xf numFmtId="190" fontId="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3" borderId="0" applyNumberFormat="0" applyAlignment="0" applyProtection="0">
      <alignment vertical="center"/>
    </xf>
    <xf numFmtId="0" fontId="3" fillId="3" borderId="0" applyNumberFormat="0" applyAlignment="0" applyProtection="0">
      <alignment vertical="center"/>
    </xf>
    <xf numFmtId="0" fontId="3" fillId="3" borderId="0" applyNumberFormat="0" applyAlignment="0" applyProtection="0">
      <alignment vertical="center"/>
    </xf>
    <xf numFmtId="0" fontId="3" fillId="3" borderId="0" applyNumberFormat="0" applyAlignment="0" applyProtection="0">
      <alignment vertical="center"/>
    </xf>
    <xf numFmtId="0" fontId="23" fillId="4" borderId="0" applyNumberFormat="0" applyAlignment="0" applyProtection="0">
      <alignment vertical="center"/>
    </xf>
    <xf numFmtId="0" fontId="23" fillId="9" borderId="0" applyNumberFormat="0" applyAlignment="0" applyProtection="0">
      <alignment vertical="center"/>
    </xf>
    <xf numFmtId="190" fontId="3" fillId="4"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3" fillId="4"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0" fontId="3" fillId="4"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190" fontId="3" fillId="4"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0" fontId="3" fillId="4"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0" fontId="3" fillId="4" borderId="0" applyNumberFormat="0" applyAlignment="0" applyProtection="0">
      <alignment vertical="center"/>
    </xf>
    <xf numFmtId="190" fontId="3" fillId="4" borderId="0" applyNumberFormat="0" applyAlignment="0" applyProtection="0">
      <alignment vertical="center"/>
    </xf>
    <xf numFmtId="190" fontId="3" fillId="4"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0" fontId="3" fillId="4" borderId="0" applyNumberFormat="0" applyAlignment="0" applyProtection="0">
      <alignment vertical="center"/>
    </xf>
    <xf numFmtId="0" fontId="3" fillId="4" borderId="0" applyNumberFormat="0" applyAlignment="0" applyProtection="0">
      <alignment vertical="center"/>
    </xf>
    <xf numFmtId="0" fontId="23" fillId="4" borderId="0" applyNumberFormat="0" applyAlignment="0" applyProtection="0">
      <alignment vertical="center"/>
    </xf>
    <xf numFmtId="0" fontId="23" fillId="5" borderId="0" applyNumberFormat="0" applyAlignment="0" applyProtection="0">
      <alignment vertical="center"/>
    </xf>
    <xf numFmtId="0" fontId="23" fillId="4" borderId="0" applyNumberFormat="0" applyAlignment="0" applyProtection="0">
      <alignment vertical="center"/>
    </xf>
    <xf numFmtId="190" fontId="3" fillId="5"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3" fillId="5"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0" fontId="3" fillId="5"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190" fontId="3" fillId="5"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0" fontId="3" fillId="5"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190" fontId="3" fillId="5"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23" fillId="5" borderId="0" applyNumberFormat="0" applyAlignment="0" applyProtection="0">
      <alignment vertical="center"/>
    </xf>
    <xf numFmtId="190" fontId="23" fillId="5" borderId="0" applyNumberFormat="0" applyAlignment="0" applyProtection="0">
      <alignment vertical="center"/>
    </xf>
    <xf numFmtId="0" fontId="23" fillId="5" borderId="0" applyNumberFormat="0" applyAlignment="0" applyProtection="0">
      <alignment vertical="center"/>
    </xf>
    <xf numFmtId="190" fontId="23" fillId="5" borderId="0" applyNumberFormat="0" applyAlignment="0" applyProtection="0">
      <alignment vertical="center"/>
    </xf>
    <xf numFmtId="0" fontId="3" fillId="5" borderId="0" applyNumberFormat="0" applyAlignment="0" applyProtection="0">
      <alignment vertical="center"/>
    </xf>
    <xf numFmtId="0" fontId="3" fillId="5" borderId="0" applyNumberFormat="0" applyAlignment="0" applyProtection="0">
      <alignment vertical="center"/>
    </xf>
    <xf numFmtId="0" fontId="23" fillId="5" borderId="0" applyNumberFormat="0" applyAlignment="0" applyProtection="0">
      <alignment vertical="center"/>
    </xf>
    <xf numFmtId="0" fontId="23" fillId="6" borderId="0" applyNumberFormat="0" applyAlignment="0" applyProtection="0">
      <alignment vertical="center"/>
    </xf>
    <xf numFmtId="0" fontId="23" fillId="25" borderId="0" applyNumberFormat="0" applyAlignment="0" applyProtection="0">
      <alignment vertical="center"/>
    </xf>
    <xf numFmtId="190" fontId="3" fillId="6"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3" fillId="6"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0" fontId="3" fillId="6"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190" fontId="3" fillId="6"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0" fontId="3" fillId="6"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0" fontId="3" fillId="6" borderId="0" applyNumberFormat="0" applyAlignment="0" applyProtection="0">
      <alignment vertical="center"/>
    </xf>
    <xf numFmtId="190" fontId="3" fillId="6" borderId="0" applyNumberFormat="0" applyAlignment="0" applyProtection="0">
      <alignment vertical="center"/>
    </xf>
    <xf numFmtId="190" fontId="3" fillId="6"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23" fillId="6" borderId="0" applyNumberFormat="0" applyAlignment="0" applyProtection="0">
      <alignment vertical="center"/>
    </xf>
    <xf numFmtId="190" fontId="23" fillId="6" borderId="0" applyNumberFormat="0" applyAlignment="0" applyProtection="0">
      <alignment vertical="center"/>
    </xf>
    <xf numFmtId="0" fontId="23" fillId="6" borderId="0" applyNumberFormat="0" applyAlignment="0" applyProtection="0">
      <alignment vertical="center"/>
    </xf>
    <xf numFmtId="190" fontId="23" fillId="6" borderId="0" applyNumberFormat="0" applyAlignment="0" applyProtection="0">
      <alignment vertical="center"/>
    </xf>
    <xf numFmtId="0" fontId="3" fillId="6" borderId="0" applyNumberFormat="0" applyAlignment="0" applyProtection="0">
      <alignment vertical="center"/>
    </xf>
    <xf numFmtId="0" fontId="3" fillId="6" borderId="0" applyNumberFormat="0" applyAlignment="0" applyProtection="0">
      <alignment vertical="center"/>
    </xf>
    <xf numFmtId="0" fontId="23" fillId="6" borderId="0" applyNumberFormat="0" applyAlignment="0" applyProtection="0">
      <alignment vertical="center"/>
    </xf>
    <xf numFmtId="0" fontId="23" fillId="7" borderId="0" applyNumberFormat="0" applyAlignment="0" applyProtection="0">
      <alignment vertical="center"/>
    </xf>
    <xf numFmtId="0" fontId="23" fillId="3" borderId="0" applyNumberFormat="0" applyAlignment="0" applyProtection="0">
      <alignment vertical="center"/>
    </xf>
    <xf numFmtId="190" fontId="3" fillId="7"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7"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3" fillId="7"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190" fontId="3" fillId="7"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3" fillId="7"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0" fontId="3" fillId="7" borderId="0" applyNumberFormat="0" applyAlignment="0" applyProtection="0">
      <alignment vertical="center"/>
    </xf>
    <xf numFmtId="190" fontId="3" fillId="7" borderId="0" applyNumberFormat="0" applyAlignment="0" applyProtection="0">
      <alignment vertical="center"/>
    </xf>
    <xf numFmtId="190" fontId="3" fillId="7"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7" borderId="0" applyNumberFormat="0" applyAlignment="0" applyProtection="0">
      <alignment vertical="center"/>
    </xf>
    <xf numFmtId="190" fontId="23" fillId="7" borderId="0" applyNumberFormat="0" applyAlignment="0" applyProtection="0">
      <alignment vertical="center"/>
    </xf>
    <xf numFmtId="0" fontId="23" fillId="7" borderId="0" applyNumberFormat="0" applyAlignment="0" applyProtection="0">
      <alignment vertical="center"/>
    </xf>
    <xf numFmtId="190" fontId="23" fillId="7" borderId="0" applyNumberFormat="0" applyAlignment="0" applyProtection="0">
      <alignment vertical="center"/>
    </xf>
    <xf numFmtId="0" fontId="3" fillId="7" borderId="0" applyNumberFormat="0" applyAlignment="0" applyProtection="0">
      <alignment vertical="center"/>
    </xf>
    <xf numFmtId="0" fontId="3" fillId="7" borderId="0" applyNumberFormat="0" applyAlignment="0" applyProtection="0">
      <alignment vertical="center"/>
    </xf>
    <xf numFmtId="0" fontId="23" fillId="7" borderId="0" applyNumberFormat="0" applyAlignment="0" applyProtection="0">
      <alignment vertical="center"/>
    </xf>
    <xf numFmtId="0" fontId="23" fillId="8" borderId="0" applyNumberFormat="0" applyAlignment="0" applyProtection="0">
      <alignment vertical="center"/>
    </xf>
    <xf numFmtId="0" fontId="23" fillId="22" borderId="0" applyNumberFormat="0" applyAlignment="0" applyProtection="0">
      <alignment vertical="center"/>
    </xf>
    <xf numFmtId="190" fontId="3" fillId="8" borderId="0" applyNumberFormat="0" applyAlignment="0" applyProtection="0">
      <alignment vertical="center"/>
    </xf>
    <xf numFmtId="0" fontId="23" fillId="22" borderId="0" applyNumberFormat="0" applyAlignment="0" applyProtection="0">
      <alignment vertical="center"/>
    </xf>
    <xf numFmtId="0" fontId="23" fillId="22" borderId="0" applyNumberFormat="0" applyAlignment="0" applyProtection="0">
      <alignment vertical="center"/>
    </xf>
    <xf numFmtId="190" fontId="23" fillId="22" borderId="0" applyNumberFormat="0" applyAlignment="0" applyProtection="0">
      <alignment vertical="center"/>
    </xf>
    <xf numFmtId="190" fontId="23" fillId="22" borderId="0" applyNumberFormat="0" applyAlignment="0" applyProtection="0">
      <alignment vertical="center"/>
    </xf>
    <xf numFmtId="0" fontId="23" fillId="22" borderId="0" applyNumberFormat="0" applyAlignment="0" applyProtection="0">
      <alignment vertical="center"/>
    </xf>
    <xf numFmtId="0" fontId="23" fillId="22" borderId="0" applyNumberFormat="0" applyAlignment="0" applyProtection="0">
      <alignment vertical="center"/>
    </xf>
    <xf numFmtId="190" fontId="23" fillId="22" borderId="0" applyNumberFormat="0" applyAlignment="0" applyProtection="0">
      <alignment vertical="center"/>
    </xf>
    <xf numFmtId="190" fontId="23" fillId="22" borderId="0" applyNumberFormat="0" applyAlignment="0" applyProtection="0">
      <alignment vertical="center"/>
    </xf>
    <xf numFmtId="0" fontId="23" fillId="22" borderId="0" applyNumberFormat="0" applyAlignment="0" applyProtection="0">
      <alignment vertical="center"/>
    </xf>
    <xf numFmtId="0" fontId="23" fillId="22" borderId="0" applyNumberFormat="0" applyAlignment="0" applyProtection="0">
      <alignment vertical="center"/>
    </xf>
    <xf numFmtId="190" fontId="23" fillId="22" borderId="0" applyNumberFormat="0" applyAlignment="0" applyProtection="0">
      <alignment vertical="center"/>
    </xf>
    <xf numFmtId="190" fontId="23" fillId="22" borderId="0" applyNumberFormat="0" applyAlignment="0" applyProtection="0">
      <alignment vertical="center"/>
    </xf>
    <xf numFmtId="0" fontId="3" fillId="8" borderId="0" applyNumberFormat="0" applyAlignment="0" applyProtection="0">
      <alignment vertical="center"/>
    </xf>
    <xf numFmtId="0" fontId="23" fillId="22" borderId="0" applyNumberFormat="0" applyAlignment="0" applyProtection="0">
      <alignment vertical="center"/>
    </xf>
    <xf numFmtId="190" fontId="23" fillId="22"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23" fillId="22" borderId="0" applyNumberFormat="0" applyAlignment="0" applyProtection="0">
      <alignment vertical="center"/>
    </xf>
    <xf numFmtId="0" fontId="23" fillId="22" borderId="0" applyNumberFormat="0" applyAlignment="0" applyProtection="0">
      <alignment vertical="center"/>
    </xf>
    <xf numFmtId="0" fontId="3" fillId="8" borderId="0" applyNumberFormat="0" applyAlignment="0" applyProtection="0">
      <alignment vertical="center"/>
    </xf>
    <xf numFmtId="0" fontId="23" fillId="22" borderId="0" applyNumberFormat="0" applyAlignment="0" applyProtection="0">
      <alignment vertical="center"/>
    </xf>
    <xf numFmtId="190" fontId="23" fillId="22" borderId="0" applyNumberFormat="0" applyAlignment="0" applyProtection="0">
      <alignment vertical="center"/>
    </xf>
    <xf numFmtId="190" fontId="23" fillId="22" borderId="0" applyNumberFormat="0" applyAlignment="0" applyProtection="0">
      <alignment vertical="center"/>
    </xf>
    <xf numFmtId="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190" fontId="3" fillId="8" borderId="0" applyNumberFormat="0" applyAlignment="0" applyProtection="0">
      <alignment vertical="center"/>
    </xf>
    <xf numFmtId="0" fontId="23" fillId="22" borderId="0" applyNumberFormat="0" applyAlignment="0" applyProtection="0">
      <alignment vertical="center"/>
    </xf>
    <xf numFmtId="0" fontId="23" fillId="22" borderId="0" applyNumberFormat="0" applyAlignment="0" applyProtection="0">
      <alignment vertical="center"/>
    </xf>
    <xf numFmtId="0" fontId="3" fillId="8" borderId="0" applyNumberFormat="0" applyAlignment="0" applyProtection="0">
      <alignment vertical="center"/>
    </xf>
    <xf numFmtId="0" fontId="23" fillId="22" borderId="0" applyNumberFormat="0" applyAlignment="0" applyProtection="0">
      <alignment vertical="center"/>
    </xf>
    <xf numFmtId="190" fontId="23" fillId="22" borderId="0" applyNumberFormat="0" applyAlignment="0" applyProtection="0">
      <alignment vertical="center"/>
    </xf>
    <xf numFmtId="190" fontId="23" fillId="22" borderId="0" applyNumberFormat="0" applyAlignment="0" applyProtection="0">
      <alignment vertical="center"/>
    </xf>
    <xf numFmtId="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190" fontId="3" fillId="8" borderId="0" applyNumberFormat="0" applyAlignment="0" applyProtection="0">
      <alignment vertical="center"/>
    </xf>
    <xf numFmtId="0" fontId="23" fillId="22" borderId="0" applyNumberFormat="0" applyAlignment="0" applyProtection="0">
      <alignment vertical="center"/>
    </xf>
    <xf numFmtId="0" fontId="23" fillId="22" borderId="0" applyNumberFormat="0" applyAlignment="0" applyProtection="0">
      <alignment vertical="center"/>
    </xf>
    <xf numFmtId="0" fontId="23" fillId="22" borderId="0" applyNumberFormat="0" applyAlignment="0" applyProtection="0">
      <alignment vertical="center"/>
    </xf>
    <xf numFmtId="190" fontId="23" fillId="22" borderId="0" applyNumberFormat="0" applyAlignment="0" applyProtection="0">
      <alignment vertical="center"/>
    </xf>
    <xf numFmtId="190" fontId="23" fillId="22" borderId="0" applyNumberFormat="0" applyAlignment="0" applyProtection="0">
      <alignment vertical="center"/>
    </xf>
    <xf numFmtId="0" fontId="23" fillId="8" borderId="0" applyNumberFormat="0" applyAlignment="0" applyProtection="0">
      <alignment vertical="center"/>
    </xf>
    <xf numFmtId="190" fontId="23" fillId="8" borderId="0" applyNumberFormat="0" applyAlignment="0" applyProtection="0">
      <alignment vertical="center"/>
    </xf>
    <xf numFmtId="0" fontId="23" fillId="8" borderId="0" applyNumberFormat="0" applyAlignment="0" applyProtection="0">
      <alignment vertical="center"/>
    </xf>
    <xf numFmtId="190" fontId="23" fillId="8" borderId="0" applyNumberFormat="0" applyAlignment="0" applyProtection="0">
      <alignment vertical="center"/>
    </xf>
    <xf numFmtId="0" fontId="3" fillId="8" borderId="0" applyNumberFormat="0" applyAlignment="0" applyProtection="0">
      <alignment vertical="center"/>
    </xf>
    <xf numFmtId="0" fontId="3" fillId="8" borderId="0" applyNumberFormat="0" applyAlignment="0" applyProtection="0">
      <alignment vertical="center"/>
    </xf>
    <xf numFmtId="0" fontId="23" fillId="8" borderId="0" applyNumberFormat="0" applyAlignment="0" applyProtection="0">
      <alignment vertical="center"/>
    </xf>
    <xf numFmtId="0" fontId="23" fillId="9" borderId="0" applyNumberFormat="0" applyAlignment="0" applyProtection="0">
      <alignment vertical="center"/>
    </xf>
    <xf numFmtId="0" fontId="23" fillId="3" borderId="0" applyNumberFormat="0" applyAlignment="0" applyProtection="0">
      <alignment vertical="center"/>
    </xf>
    <xf numFmtId="190" fontId="3" fillId="9"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9"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3" fillId="9"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190" fontId="3" fillId="9"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3" fillId="9"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0" fontId="3" fillId="9" borderId="0" applyNumberFormat="0" applyAlignment="0" applyProtection="0">
      <alignment vertical="center"/>
    </xf>
    <xf numFmtId="190" fontId="3" fillId="9" borderId="0" applyNumberFormat="0" applyAlignment="0" applyProtection="0">
      <alignment vertical="center"/>
    </xf>
    <xf numFmtId="190" fontId="3" fillId="9"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0" fontId="3" fillId="9" borderId="0" applyNumberFormat="0" applyAlignment="0" applyProtection="0">
      <alignment vertical="center"/>
    </xf>
    <xf numFmtId="0" fontId="3" fillId="9" borderId="0" applyNumberFormat="0" applyAlignment="0" applyProtection="0">
      <alignment vertical="center"/>
    </xf>
    <xf numFmtId="0" fontId="23" fillId="9" borderId="0" applyNumberFormat="0" applyAlignment="0" applyProtection="0">
      <alignment vertical="center"/>
    </xf>
    <xf numFmtId="0" fontId="23" fillId="10" borderId="0" applyNumberFormat="0" applyAlignment="0" applyProtection="0">
      <alignment vertical="center"/>
    </xf>
    <xf numFmtId="0" fontId="23" fillId="9" borderId="0" applyNumberFormat="0" applyAlignment="0" applyProtection="0">
      <alignment vertical="center"/>
    </xf>
    <xf numFmtId="190" fontId="3" fillId="10"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3" fillId="10"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0" fontId="3" fillId="10"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190" fontId="3" fillId="10"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0" fontId="3" fillId="10"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0" fontId="3" fillId="10" borderId="0" applyNumberFormat="0" applyAlignment="0" applyProtection="0">
      <alignment vertical="center"/>
    </xf>
    <xf numFmtId="190" fontId="3" fillId="10" borderId="0" applyNumberFormat="0" applyAlignment="0" applyProtection="0">
      <alignment vertical="center"/>
    </xf>
    <xf numFmtId="190" fontId="3" fillId="10"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0" fontId="23" fillId="9" borderId="0" applyNumberFormat="0" applyAlignment="0" applyProtection="0">
      <alignment vertical="center"/>
    </xf>
    <xf numFmtId="190" fontId="23" fillId="9" borderId="0" applyNumberFormat="0" applyAlignment="0" applyProtection="0">
      <alignment vertical="center"/>
    </xf>
    <xf numFmtId="190" fontId="23" fillId="9" borderId="0" applyNumberFormat="0" applyAlignment="0" applyProtection="0">
      <alignment vertical="center"/>
    </xf>
    <xf numFmtId="0" fontId="23" fillId="10" borderId="0" applyNumberFormat="0" applyAlignment="0" applyProtection="0">
      <alignment vertical="center"/>
    </xf>
    <xf numFmtId="190" fontId="23" fillId="10" borderId="0" applyNumberFormat="0" applyAlignment="0" applyProtection="0">
      <alignment vertical="center"/>
    </xf>
    <xf numFmtId="0" fontId="23" fillId="10" borderId="0" applyNumberFormat="0" applyAlignment="0" applyProtection="0">
      <alignment vertical="center"/>
    </xf>
    <xf numFmtId="190" fontId="23" fillId="10" borderId="0" applyNumberFormat="0" applyAlignment="0" applyProtection="0">
      <alignment vertical="center"/>
    </xf>
    <xf numFmtId="0" fontId="3" fillId="10" borderId="0" applyNumberFormat="0" applyAlignment="0" applyProtection="0">
      <alignment vertical="center"/>
    </xf>
    <xf numFmtId="0" fontId="3" fillId="10" borderId="0" applyNumberFormat="0" applyAlignment="0" applyProtection="0">
      <alignment vertical="center"/>
    </xf>
    <xf numFmtId="0" fontId="23" fillId="10" borderId="0" applyNumberFormat="0" applyAlignment="0" applyProtection="0">
      <alignment vertical="center"/>
    </xf>
    <xf numFmtId="0" fontId="23" fillId="5" borderId="0" applyNumberFormat="0" applyAlignment="0" applyProtection="0">
      <alignment vertical="center"/>
    </xf>
    <xf numFmtId="0" fontId="23" fillId="4" borderId="0" applyNumberFormat="0" applyAlignment="0" applyProtection="0">
      <alignment vertical="center"/>
    </xf>
    <xf numFmtId="190" fontId="3" fillId="5"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3" fillId="5"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0" fontId="3" fillId="5"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190" fontId="3" fillId="5"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0" fontId="3" fillId="5"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0" fontId="3" fillId="5" borderId="0" applyNumberFormat="0" applyAlignment="0" applyProtection="0">
      <alignment vertical="center"/>
    </xf>
    <xf numFmtId="190" fontId="3" fillId="5" borderId="0" applyNumberFormat="0" applyAlignment="0" applyProtection="0">
      <alignment vertical="center"/>
    </xf>
    <xf numFmtId="190" fontId="3" fillId="5"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0" fontId="23" fillId="4" borderId="0" applyNumberFormat="0" applyAlignment="0" applyProtection="0">
      <alignment vertical="center"/>
    </xf>
    <xf numFmtId="190" fontId="23" fillId="4" borderId="0" applyNumberFormat="0" applyAlignment="0" applyProtection="0">
      <alignment vertical="center"/>
    </xf>
    <xf numFmtId="190" fontId="23" fillId="4" borderId="0" applyNumberFormat="0" applyAlignment="0" applyProtection="0">
      <alignment vertical="center"/>
    </xf>
    <xf numFmtId="0" fontId="23" fillId="5" borderId="0" applyNumberFormat="0" applyAlignment="0" applyProtection="0">
      <alignment vertical="center"/>
    </xf>
    <xf numFmtId="190" fontId="23" fillId="5" borderId="0" applyNumberFormat="0" applyAlignment="0" applyProtection="0">
      <alignment vertical="center"/>
    </xf>
    <xf numFmtId="0" fontId="23" fillId="5" borderId="0" applyNumberFormat="0" applyAlignment="0" applyProtection="0">
      <alignment vertical="center"/>
    </xf>
    <xf numFmtId="190" fontId="23" fillId="5" borderId="0" applyNumberFormat="0" applyAlignment="0" applyProtection="0">
      <alignment vertical="center"/>
    </xf>
    <xf numFmtId="0" fontId="3" fillId="5" borderId="0" applyNumberFormat="0" applyAlignment="0" applyProtection="0">
      <alignment vertical="center"/>
    </xf>
    <xf numFmtId="0" fontId="3" fillId="5" borderId="0" applyNumberFormat="0" applyAlignment="0" applyProtection="0">
      <alignment vertical="center"/>
    </xf>
    <xf numFmtId="0" fontId="23" fillId="5" borderId="0" applyNumberFormat="0" applyAlignment="0" applyProtection="0">
      <alignment vertical="center"/>
    </xf>
    <xf numFmtId="0" fontId="23" fillId="8" borderId="0" applyNumberFormat="0" applyAlignment="0" applyProtection="0">
      <alignment vertical="center"/>
    </xf>
    <xf numFmtId="0" fontId="23" fillId="25" borderId="0" applyNumberFormat="0" applyAlignment="0" applyProtection="0">
      <alignment vertical="center"/>
    </xf>
    <xf numFmtId="190" fontId="3" fillId="8"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3" fillId="8"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0" fontId="3" fillId="8"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190" fontId="3" fillId="8"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0" fontId="3" fillId="8"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0" fontId="3" fillId="8" borderId="0" applyNumberFormat="0" applyAlignment="0" applyProtection="0">
      <alignment vertical="center"/>
    </xf>
    <xf numFmtId="190" fontId="3" fillId="8" borderId="0" applyNumberFormat="0" applyAlignment="0" applyProtection="0">
      <alignment vertical="center"/>
    </xf>
    <xf numFmtId="190" fontId="3" fillId="8"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0" fontId="23" fillId="25" borderId="0" applyNumberFormat="0" applyAlignment="0" applyProtection="0">
      <alignment vertical="center"/>
    </xf>
    <xf numFmtId="190" fontId="23" fillId="25" borderId="0" applyNumberFormat="0" applyAlignment="0" applyProtection="0">
      <alignment vertical="center"/>
    </xf>
    <xf numFmtId="190" fontId="23" fillId="25" borderId="0" applyNumberFormat="0" applyAlignment="0" applyProtection="0">
      <alignment vertical="center"/>
    </xf>
    <xf numFmtId="0" fontId="23" fillId="8" borderId="0" applyNumberFormat="0" applyAlignment="0" applyProtection="0">
      <alignment vertical="center"/>
    </xf>
    <xf numFmtId="190" fontId="23" fillId="8" borderId="0" applyNumberFormat="0" applyAlignment="0" applyProtection="0">
      <alignment vertical="center"/>
    </xf>
    <xf numFmtId="0" fontId="23" fillId="8" borderId="0" applyNumberFormat="0" applyAlignment="0" applyProtection="0">
      <alignment vertical="center"/>
    </xf>
    <xf numFmtId="190" fontId="23" fillId="8" borderId="0" applyNumberFormat="0" applyAlignment="0" applyProtection="0">
      <alignment vertical="center"/>
    </xf>
    <xf numFmtId="0" fontId="3" fillId="8" borderId="0" applyNumberFormat="0" applyAlignment="0" applyProtection="0">
      <alignment vertical="center"/>
    </xf>
    <xf numFmtId="0" fontId="3" fillId="8" borderId="0" applyNumberFormat="0" applyAlignment="0" applyProtection="0">
      <alignment vertical="center"/>
    </xf>
    <xf numFmtId="0" fontId="23" fillId="8" borderId="0" applyNumberFormat="0" applyAlignment="0" applyProtection="0">
      <alignment vertical="center"/>
    </xf>
    <xf numFmtId="0" fontId="23" fillId="11" borderId="0" applyNumberFormat="0" applyAlignment="0" applyProtection="0">
      <alignment vertical="center"/>
    </xf>
    <xf numFmtId="0" fontId="23" fillId="3" borderId="0" applyNumberFormat="0" applyAlignment="0" applyProtection="0">
      <alignment vertical="center"/>
    </xf>
    <xf numFmtId="190" fontId="3" fillId="11"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11"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3" fillId="11"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190" fontId="3" fillId="11"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3" fillId="11"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0" fontId="3" fillId="11" borderId="0" applyNumberFormat="0" applyAlignment="0" applyProtection="0">
      <alignment vertical="center"/>
    </xf>
    <xf numFmtId="190" fontId="3" fillId="11" borderId="0" applyNumberFormat="0" applyAlignment="0" applyProtection="0">
      <alignment vertical="center"/>
    </xf>
    <xf numFmtId="190" fontId="3" fillId="11"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0" fontId="23" fillId="3" borderId="0" applyNumberFormat="0" applyAlignment="0" applyProtection="0">
      <alignment vertical="center"/>
    </xf>
    <xf numFmtId="190" fontId="23" fillId="3" borderId="0" applyNumberFormat="0" applyAlignment="0" applyProtection="0">
      <alignment vertical="center"/>
    </xf>
    <xf numFmtId="190" fontId="23" fillId="3" borderId="0" applyNumberFormat="0" applyAlignment="0" applyProtection="0">
      <alignment vertical="center"/>
    </xf>
    <xf numFmtId="0" fontId="23" fillId="11" borderId="0" applyNumberFormat="0" applyAlignment="0" applyProtection="0">
      <alignment vertical="center"/>
    </xf>
    <xf numFmtId="190" fontId="23" fillId="11" borderId="0" applyNumberFormat="0" applyAlignment="0" applyProtection="0">
      <alignment vertical="center"/>
    </xf>
    <xf numFmtId="0" fontId="23" fillId="11" borderId="0" applyNumberFormat="0" applyAlignment="0" applyProtection="0">
      <alignment vertical="center"/>
    </xf>
    <xf numFmtId="190" fontId="23" fillId="11" borderId="0" applyNumberFormat="0" applyAlignment="0" applyProtection="0">
      <alignment vertical="center"/>
    </xf>
    <xf numFmtId="0" fontId="3" fillId="11" borderId="0" applyNumberFormat="0" applyAlignment="0" applyProtection="0">
      <alignment vertical="center"/>
    </xf>
    <xf numFmtId="0" fontId="3" fillId="11" borderId="0" applyNumberFormat="0" applyAlignment="0" applyProtection="0">
      <alignment vertical="center"/>
    </xf>
    <xf numFmtId="0" fontId="23" fillId="11" borderId="0" applyNumberFormat="0" applyAlignment="0" applyProtection="0">
      <alignment vertical="center"/>
    </xf>
    <xf numFmtId="0" fontId="60" fillId="12" borderId="0" applyNumberFormat="0" applyAlignment="0" applyProtection="0">
      <alignment vertical="center"/>
    </xf>
    <xf numFmtId="190" fontId="60" fillId="12" borderId="0" applyNumberFormat="0" applyAlignment="0" applyProtection="0">
      <alignment vertical="center"/>
    </xf>
    <xf numFmtId="0" fontId="60" fillId="12" borderId="0" applyNumberFormat="0" applyAlignment="0" applyProtection="0">
      <alignment vertical="center"/>
    </xf>
    <xf numFmtId="190" fontId="60" fillId="12" borderId="0" applyNumberFormat="0" applyAlignment="0" applyProtection="0">
      <alignment vertical="center"/>
    </xf>
    <xf numFmtId="0" fontId="60" fillId="12" borderId="0" applyNumberFormat="0" applyAlignment="0" applyProtection="0">
      <alignment vertical="center"/>
    </xf>
    <xf numFmtId="190" fontId="60" fillId="12" borderId="0" applyNumberFormat="0" applyAlignment="0" applyProtection="0">
      <alignment vertical="center"/>
    </xf>
    <xf numFmtId="0" fontId="29" fillId="12" borderId="0" applyNumberFormat="0" applyAlignment="0" applyProtection="0">
      <alignment vertical="center"/>
    </xf>
    <xf numFmtId="190" fontId="29" fillId="12" borderId="0" applyNumberFormat="0" applyAlignment="0" applyProtection="0">
      <alignment vertical="center"/>
    </xf>
    <xf numFmtId="0" fontId="29" fillId="26" borderId="0" applyNumberFormat="0" applyAlignment="0" applyProtection="0">
      <alignment vertical="center"/>
    </xf>
    <xf numFmtId="0" fontId="60" fillId="9" borderId="0" applyNumberFormat="0" applyAlignment="0" applyProtection="0">
      <alignment vertical="center"/>
    </xf>
    <xf numFmtId="190" fontId="60" fillId="9" borderId="0" applyNumberFormat="0" applyAlignment="0" applyProtection="0">
      <alignment vertical="center"/>
    </xf>
    <xf numFmtId="0" fontId="60" fillId="9" borderId="0" applyNumberFormat="0" applyAlignment="0" applyProtection="0">
      <alignment vertical="center"/>
    </xf>
    <xf numFmtId="190" fontId="60" fillId="9" borderId="0" applyNumberFormat="0" applyAlignment="0" applyProtection="0">
      <alignment vertical="center"/>
    </xf>
    <xf numFmtId="0" fontId="60" fillId="9" borderId="0" applyNumberFormat="0" applyAlignment="0" applyProtection="0">
      <alignment vertical="center"/>
    </xf>
    <xf numFmtId="190" fontId="60" fillId="9" borderId="0" applyNumberFormat="0" applyAlignment="0" applyProtection="0">
      <alignment vertical="center"/>
    </xf>
    <xf numFmtId="0" fontId="29" fillId="9" borderId="0" applyNumberFormat="0" applyAlignment="0" applyProtection="0">
      <alignment vertical="center"/>
    </xf>
    <xf numFmtId="190" fontId="29" fillId="9" borderId="0" applyNumberFormat="0" applyAlignment="0" applyProtection="0">
      <alignment vertical="center"/>
    </xf>
    <xf numFmtId="0" fontId="29" fillId="3" borderId="0" applyNumberFormat="0" applyAlignment="0" applyProtection="0">
      <alignment vertical="center"/>
    </xf>
    <xf numFmtId="0" fontId="60" fillId="10" borderId="0" applyNumberFormat="0" applyAlignment="0" applyProtection="0">
      <alignment vertical="center"/>
    </xf>
    <xf numFmtId="190" fontId="60" fillId="10" borderId="0" applyNumberFormat="0" applyAlignment="0" applyProtection="0">
      <alignment vertical="center"/>
    </xf>
    <xf numFmtId="0" fontId="60" fillId="10" borderId="0" applyNumberFormat="0" applyAlignment="0" applyProtection="0">
      <alignment vertical="center"/>
    </xf>
    <xf numFmtId="190" fontId="60" fillId="10" borderId="0" applyNumberFormat="0" applyAlignment="0" applyProtection="0">
      <alignment vertical="center"/>
    </xf>
    <xf numFmtId="0" fontId="60" fillId="10" borderId="0" applyNumberFormat="0" applyAlignment="0" applyProtection="0">
      <alignment vertical="center"/>
    </xf>
    <xf numFmtId="190" fontId="60" fillId="10" borderId="0" applyNumberFormat="0" applyAlignment="0" applyProtection="0">
      <alignment vertical="center"/>
    </xf>
    <xf numFmtId="0" fontId="29" fillId="10" borderId="0" applyNumberFormat="0" applyAlignment="0" applyProtection="0">
      <alignment vertical="center"/>
    </xf>
    <xf numFmtId="190" fontId="29" fillId="10" borderId="0" applyNumberFormat="0" applyAlignment="0" applyProtection="0">
      <alignment vertical="center"/>
    </xf>
    <xf numFmtId="0" fontId="29" fillId="9" borderId="0" applyNumberFormat="0" applyAlignment="0" applyProtection="0">
      <alignment vertical="center"/>
    </xf>
    <xf numFmtId="0" fontId="60" fillId="13" borderId="0" applyNumberFormat="0" applyAlignment="0" applyProtection="0">
      <alignment vertical="center"/>
    </xf>
    <xf numFmtId="190" fontId="60" fillId="13" borderId="0" applyNumberFormat="0" applyAlignment="0" applyProtection="0">
      <alignment vertical="center"/>
    </xf>
    <xf numFmtId="0" fontId="60" fillId="13" borderId="0" applyNumberFormat="0" applyAlignment="0" applyProtection="0">
      <alignment vertical="center"/>
    </xf>
    <xf numFmtId="190" fontId="60" fillId="13" borderId="0" applyNumberFormat="0" applyAlignment="0" applyProtection="0">
      <alignment vertical="center"/>
    </xf>
    <xf numFmtId="0" fontId="60" fillId="13" borderId="0" applyNumberFormat="0" applyAlignment="0" applyProtection="0">
      <alignment vertical="center"/>
    </xf>
    <xf numFmtId="190" fontId="60" fillId="13" borderId="0" applyNumberFormat="0" applyAlignment="0" applyProtection="0">
      <alignment vertical="center"/>
    </xf>
    <xf numFmtId="0" fontId="29" fillId="13" borderId="0" applyNumberFormat="0" applyAlignment="0" applyProtection="0">
      <alignment vertical="center"/>
    </xf>
    <xf numFmtId="190" fontId="29" fillId="13" borderId="0" applyNumberFormat="0" applyAlignment="0" applyProtection="0">
      <alignment vertical="center"/>
    </xf>
    <xf numFmtId="0" fontId="29" fillId="10" borderId="0" applyNumberFormat="0" applyAlignment="0" applyProtection="0">
      <alignment vertical="center"/>
    </xf>
    <xf numFmtId="0" fontId="60" fillId="14" borderId="0" applyNumberFormat="0" applyAlignment="0" applyProtection="0">
      <alignment vertical="center"/>
    </xf>
    <xf numFmtId="190" fontId="60" fillId="14" borderId="0" applyNumberFormat="0" applyAlignment="0" applyProtection="0">
      <alignment vertical="center"/>
    </xf>
    <xf numFmtId="0" fontId="60" fillId="14" borderId="0" applyNumberFormat="0" applyAlignment="0" applyProtection="0">
      <alignment vertical="center"/>
    </xf>
    <xf numFmtId="190" fontId="60" fillId="14" borderId="0" applyNumberFormat="0" applyAlignment="0" applyProtection="0">
      <alignment vertical="center"/>
    </xf>
    <xf numFmtId="0" fontId="60" fillId="14" borderId="0" applyNumberFormat="0" applyAlignment="0" applyProtection="0">
      <alignment vertical="center"/>
    </xf>
    <xf numFmtId="190" fontId="60" fillId="14" borderId="0" applyNumberFormat="0" applyAlignment="0" applyProtection="0">
      <alignment vertical="center"/>
    </xf>
    <xf numFmtId="0" fontId="29" fillId="14" borderId="0" applyNumberFormat="0" applyAlignment="0" applyProtection="0">
      <alignment vertical="center"/>
    </xf>
    <xf numFmtId="190" fontId="29" fillId="14" borderId="0" applyNumberFormat="0" applyAlignment="0" applyProtection="0">
      <alignment vertical="center"/>
    </xf>
    <xf numFmtId="0" fontId="29" fillId="27" borderId="0" applyNumberFormat="0" applyAlignment="0" applyProtection="0">
      <alignment vertical="center"/>
    </xf>
    <xf numFmtId="0" fontId="60" fillId="15" borderId="0" applyNumberFormat="0" applyAlignment="0" applyProtection="0">
      <alignment vertical="center"/>
    </xf>
    <xf numFmtId="190" fontId="60" fillId="15" borderId="0" applyNumberFormat="0" applyAlignment="0" applyProtection="0">
      <alignment vertical="center"/>
    </xf>
    <xf numFmtId="0" fontId="60" fillId="15" borderId="0" applyNumberFormat="0" applyAlignment="0" applyProtection="0">
      <alignment vertical="center"/>
    </xf>
    <xf numFmtId="190" fontId="60" fillId="15" borderId="0" applyNumberFormat="0" applyAlignment="0" applyProtection="0">
      <alignment vertical="center"/>
    </xf>
    <xf numFmtId="0" fontId="60" fillId="15" borderId="0" applyNumberFormat="0" applyAlignment="0" applyProtection="0">
      <alignment vertical="center"/>
    </xf>
    <xf numFmtId="190" fontId="60" fillId="15" borderId="0" applyNumberFormat="0" applyAlignment="0" applyProtection="0">
      <alignment vertical="center"/>
    </xf>
    <xf numFmtId="0" fontId="29" fillId="15" borderId="0" applyNumberFormat="0" applyAlignment="0" applyProtection="0">
      <alignment vertical="center"/>
    </xf>
    <xf numFmtId="190" fontId="29" fillId="15" borderId="0" applyNumberFormat="0" applyAlignment="0" applyProtection="0">
      <alignment vertical="center"/>
    </xf>
    <xf numFmtId="0" fontId="29" fillId="3" borderId="0" applyNumberFormat="0" applyAlignment="0" applyProtection="0">
      <alignment vertical="center"/>
    </xf>
    <xf numFmtId="0" fontId="60" fillId="16" borderId="0" applyNumberFormat="0" applyAlignment="0" applyProtection="0">
      <alignment vertical="center"/>
    </xf>
    <xf numFmtId="190" fontId="60" fillId="16" borderId="0" applyNumberFormat="0" applyAlignment="0" applyProtection="0">
      <alignment vertical="center"/>
    </xf>
    <xf numFmtId="0" fontId="60" fillId="16" borderId="0" applyNumberFormat="0" applyAlignment="0" applyProtection="0">
      <alignment vertical="center"/>
    </xf>
    <xf numFmtId="190" fontId="60" fillId="16" borderId="0" applyNumberFormat="0" applyAlignment="0" applyProtection="0">
      <alignment vertical="center"/>
    </xf>
    <xf numFmtId="0" fontId="60" fillId="16" borderId="0" applyNumberFormat="0" applyAlignment="0" applyProtection="0">
      <alignment vertical="center"/>
    </xf>
    <xf numFmtId="190" fontId="60" fillId="16" borderId="0" applyNumberFormat="0" applyAlignment="0" applyProtection="0">
      <alignment vertical="center"/>
    </xf>
    <xf numFmtId="0" fontId="29" fillId="16" borderId="0" applyNumberFormat="0" applyAlignment="0" applyProtection="0">
      <alignment vertical="center"/>
    </xf>
    <xf numFmtId="190" fontId="29" fillId="16" borderId="0" applyNumberFormat="0" applyAlignment="0" applyProtection="0">
      <alignment vertical="center"/>
    </xf>
    <xf numFmtId="0" fontId="29" fillId="22" borderId="0" applyNumberFormat="0" applyAlignment="0" applyProtection="0">
      <alignment vertical="center"/>
    </xf>
    <xf numFmtId="0" fontId="60" fillId="17" borderId="0" applyNumberFormat="0" applyAlignment="0" applyProtection="0">
      <alignment vertical="center"/>
    </xf>
    <xf numFmtId="190" fontId="60" fillId="17" borderId="0" applyNumberFormat="0" applyAlignment="0" applyProtection="0">
      <alignment vertical="center"/>
    </xf>
    <xf numFmtId="0" fontId="60" fillId="17" borderId="0" applyNumberFormat="0" applyAlignment="0" applyProtection="0">
      <alignment vertical="center"/>
    </xf>
    <xf numFmtId="190" fontId="60" fillId="17" borderId="0" applyNumberFormat="0" applyAlignment="0" applyProtection="0">
      <alignment vertical="center"/>
    </xf>
    <xf numFmtId="0" fontId="60" fillId="17" borderId="0" applyNumberFormat="0" applyAlignment="0" applyProtection="0">
      <alignment vertical="center"/>
    </xf>
    <xf numFmtId="190" fontId="60" fillId="17" borderId="0" applyNumberFormat="0" applyAlignment="0" applyProtection="0">
      <alignment vertical="center"/>
    </xf>
    <xf numFmtId="0" fontId="29" fillId="17" borderId="0" applyNumberFormat="0" applyAlignment="0" applyProtection="0">
      <alignment vertical="center"/>
    </xf>
    <xf numFmtId="190" fontId="29" fillId="17" borderId="0" applyNumberFormat="0" applyAlignment="0" applyProtection="0">
      <alignment vertical="center"/>
    </xf>
    <xf numFmtId="0" fontId="29" fillId="3" borderId="0" applyNumberFormat="0" applyAlignment="0" applyProtection="0">
      <alignment vertical="center"/>
    </xf>
    <xf numFmtId="0" fontId="60" fillId="18" borderId="0" applyNumberFormat="0" applyAlignment="0" applyProtection="0">
      <alignment vertical="center"/>
    </xf>
    <xf numFmtId="190" fontId="60" fillId="18" borderId="0" applyNumberFormat="0" applyAlignment="0" applyProtection="0">
      <alignment vertical="center"/>
    </xf>
    <xf numFmtId="0" fontId="60" fillId="18" borderId="0" applyNumberFormat="0" applyAlignment="0" applyProtection="0">
      <alignment vertical="center"/>
    </xf>
    <xf numFmtId="190" fontId="60" fillId="18" borderId="0" applyNumberFormat="0" applyAlignment="0" applyProtection="0">
      <alignment vertical="center"/>
    </xf>
    <xf numFmtId="0" fontId="60" fillId="18" borderId="0" applyNumberFormat="0" applyAlignment="0" applyProtection="0">
      <alignment vertical="center"/>
    </xf>
    <xf numFmtId="190" fontId="60" fillId="18" borderId="0" applyNumberFormat="0" applyAlignment="0" applyProtection="0">
      <alignment vertical="center"/>
    </xf>
    <xf numFmtId="0" fontId="29" fillId="18" borderId="0" applyNumberFormat="0" applyAlignment="0" applyProtection="0">
      <alignment vertical="center"/>
    </xf>
    <xf numFmtId="190" fontId="29" fillId="18" borderId="0" applyNumberFormat="0" applyAlignment="0" applyProtection="0">
      <alignment vertical="center"/>
    </xf>
    <xf numFmtId="0" fontId="29" fillId="17" borderId="0" applyNumberFormat="0" applyAlignment="0" applyProtection="0">
      <alignment vertical="center"/>
    </xf>
    <xf numFmtId="0" fontId="60" fillId="13" borderId="0" applyNumberFormat="0" applyAlignment="0" applyProtection="0">
      <alignment vertical="center"/>
    </xf>
    <xf numFmtId="190" fontId="60" fillId="13" borderId="0" applyNumberFormat="0" applyAlignment="0" applyProtection="0">
      <alignment vertical="center"/>
    </xf>
    <xf numFmtId="0" fontId="60" fillId="13" borderId="0" applyNumberFormat="0" applyAlignment="0" applyProtection="0">
      <alignment vertical="center"/>
    </xf>
    <xf numFmtId="190" fontId="60" fillId="13" borderId="0" applyNumberFormat="0" applyAlignment="0" applyProtection="0">
      <alignment vertical="center"/>
    </xf>
    <xf numFmtId="0" fontId="60" fillId="13" borderId="0" applyNumberFormat="0" applyAlignment="0" applyProtection="0">
      <alignment vertical="center"/>
    </xf>
    <xf numFmtId="190" fontId="60" fillId="13" borderId="0" applyNumberFormat="0" applyAlignment="0" applyProtection="0">
      <alignment vertical="center"/>
    </xf>
    <xf numFmtId="0" fontId="29" fillId="13" borderId="0" applyNumberFormat="0" applyAlignment="0" applyProtection="0">
      <alignment vertical="center"/>
    </xf>
    <xf numFmtId="190" fontId="29" fillId="13" borderId="0" applyNumberFormat="0" applyAlignment="0" applyProtection="0">
      <alignment vertical="center"/>
    </xf>
    <xf numFmtId="0" fontId="29" fillId="10" borderId="0" applyNumberFormat="0" applyAlignment="0" applyProtection="0">
      <alignment vertical="center"/>
    </xf>
    <xf numFmtId="0" fontId="60" fillId="14" borderId="0" applyNumberFormat="0" applyAlignment="0" applyProtection="0">
      <alignment vertical="center"/>
    </xf>
    <xf numFmtId="190" fontId="60" fillId="14" borderId="0" applyNumberFormat="0" applyAlignment="0" applyProtection="0">
      <alignment vertical="center"/>
    </xf>
    <xf numFmtId="0" fontId="60" fillId="14" borderId="0" applyNumberFormat="0" applyAlignment="0" applyProtection="0">
      <alignment vertical="center"/>
    </xf>
    <xf numFmtId="190" fontId="60" fillId="14" borderId="0" applyNumberFormat="0" applyAlignment="0" applyProtection="0">
      <alignment vertical="center"/>
    </xf>
    <xf numFmtId="0" fontId="60" fillId="14" borderId="0" applyNumberFormat="0" applyAlignment="0" applyProtection="0">
      <alignment vertical="center"/>
    </xf>
    <xf numFmtId="190" fontId="60" fillId="14" borderId="0" applyNumberFormat="0" applyAlignment="0" applyProtection="0">
      <alignment vertical="center"/>
    </xf>
    <xf numFmtId="0" fontId="29" fillId="14" borderId="0" applyNumberFormat="0" applyAlignment="0" applyProtection="0">
      <alignment vertical="center"/>
    </xf>
    <xf numFmtId="190" fontId="29" fillId="14" borderId="0" applyNumberFormat="0" applyAlignment="0" applyProtection="0">
      <alignment vertical="center"/>
    </xf>
    <xf numFmtId="0" fontId="29" fillId="26" borderId="0" applyNumberFormat="0" applyAlignment="0" applyProtection="0">
      <alignment vertical="center"/>
    </xf>
    <xf numFmtId="0" fontId="60" fillId="19" borderId="0" applyNumberFormat="0" applyAlignment="0" applyProtection="0">
      <alignment vertical="center"/>
    </xf>
    <xf numFmtId="190" fontId="60" fillId="19" borderId="0" applyNumberFormat="0" applyAlignment="0" applyProtection="0">
      <alignment vertical="center"/>
    </xf>
    <xf numFmtId="0" fontId="60" fillId="19" borderId="0" applyNumberFormat="0" applyAlignment="0" applyProtection="0">
      <alignment vertical="center"/>
    </xf>
    <xf numFmtId="190" fontId="60" fillId="19" borderId="0" applyNumberFormat="0" applyAlignment="0" applyProtection="0">
      <alignment vertical="center"/>
    </xf>
    <xf numFmtId="0" fontId="60" fillId="19" borderId="0" applyNumberFormat="0" applyAlignment="0" applyProtection="0">
      <alignment vertical="center"/>
    </xf>
    <xf numFmtId="190" fontId="60" fillId="19" borderId="0" applyNumberFormat="0" applyAlignment="0" applyProtection="0">
      <alignment vertical="center"/>
    </xf>
    <xf numFmtId="0" fontId="29" fillId="19" borderId="0" applyNumberFormat="0" applyAlignment="0" applyProtection="0">
      <alignment vertical="center"/>
    </xf>
    <xf numFmtId="190" fontId="29" fillId="19" borderId="0" applyNumberFormat="0" applyAlignment="0" applyProtection="0">
      <alignment vertical="center"/>
    </xf>
    <xf numFmtId="0" fontId="29" fillId="25" borderId="0" applyNumberFormat="0" applyAlignment="0" applyProtection="0">
      <alignment vertical="center"/>
    </xf>
    <xf numFmtId="190" fontId="30" fillId="0" borderId="0" applyNumberFormat="0" applyAlignment="0" applyProtection="0">
      <alignment vertical="center"/>
    </xf>
    <xf numFmtId="0" fontId="30" fillId="0" borderId="0" applyNumberFormat="0" applyAlignment="0" applyProtection="0">
      <alignment vertical="center"/>
    </xf>
    <xf numFmtId="190" fontId="30" fillId="0" borderId="0" applyNumberFormat="0" applyAlignment="0" applyProtection="0">
      <alignment vertical="center"/>
    </xf>
    <xf numFmtId="0" fontId="30" fillId="0" borderId="0" applyNumberFormat="0" applyAlignment="0" applyProtection="0">
      <alignment vertical="center"/>
    </xf>
    <xf numFmtId="190" fontId="30" fillId="0" borderId="0" applyNumberFormat="0" applyAlignment="0" applyProtection="0">
      <alignment vertical="center"/>
    </xf>
    <xf numFmtId="0" fontId="30" fillId="0" borderId="0" applyNumberFormat="0" applyAlignment="0" applyProtection="0">
      <alignment vertical="center"/>
    </xf>
    <xf numFmtId="0" fontId="61" fillId="20" borderId="1" applyNumberFormat="0" applyAlignment="0" applyProtection="0">
      <alignment vertical="center"/>
    </xf>
    <xf numFmtId="190" fontId="61" fillId="20" borderId="1" applyNumberFormat="0" applyAlignment="0" applyProtection="0">
      <alignment vertical="center"/>
    </xf>
    <xf numFmtId="0" fontId="61" fillId="20" borderId="1" applyNumberFormat="0" applyAlignment="0" applyProtection="0">
      <alignment vertical="center"/>
    </xf>
    <xf numFmtId="190" fontId="61" fillId="20" borderId="1" applyNumberFormat="0" applyAlignment="0" applyProtection="0">
      <alignment vertical="center"/>
    </xf>
    <xf numFmtId="0" fontId="61" fillId="20" borderId="1" applyNumberFormat="0" applyAlignment="0" applyProtection="0">
      <alignment vertical="center"/>
    </xf>
    <xf numFmtId="190" fontId="61" fillId="20" borderId="1" applyNumberFormat="0" applyAlignment="0" applyProtection="0">
      <alignment vertical="center"/>
    </xf>
    <xf numFmtId="0" fontId="31" fillId="20" borderId="1" applyNumberFormat="0" applyAlignment="0" applyProtection="0">
      <alignment vertical="center"/>
    </xf>
    <xf numFmtId="190" fontId="31" fillId="20" borderId="1" applyNumberFormat="0" applyAlignment="0" applyProtection="0">
      <alignment vertical="center"/>
    </xf>
    <xf numFmtId="0" fontId="62" fillId="21" borderId="0" applyNumberFormat="0" applyAlignment="0" applyProtection="0">
      <alignment vertical="center"/>
    </xf>
    <xf numFmtId="190" fontId="62" fillId="21" borderId="0" applyNumberFormat="0" applyAlignment="0" applyProtection="0">
      <alignment vertical="center"/>
    </xf>
    <xf numFmtId="0" fontId="62" fillId="21" borderId="0" applyNumberFormat="0" applyAlignment="0" applyProtection="0">
      <alignment vertical="center"/>
    </xf>
    <xf numFmtId="190" fontId="62" fillId="21" borderId="0" applyNumberFormat="0" applyAlignment="0" applyProtection="0">
      <alignment vertical="center"/>
    </xf>
    <xf numFmtId="0" fontId="62" fillId="21" borderId="0" applyNumberFormat="0" applyAlignment="0" applyProtection="0">
      <alignment vertical="center"/>
    </xf>
    <xf numFmtId="190" fontId="62" fillId="21" borderId="0" applyNumberFormat="0" applyAlignment="0" applyProtection="0">
      <alignment vertical="center"/>
    </xf>
    <xf numFmtId="0" fontId="32" fillId="21" borderId="0" applyNumberFormat="0" applyAlignment="0" applyProtection="0">
      <alignment vertical="center"/>
    </xf>
    <xf numFmtId="190" fontId="32" fillId="21" borderId="0" applyNumberFormat="0" applyAlignment="0" applyProtection="0">
      <alignment vertical="center"/>
    </xf>
    <xf numFmtId="9" fontId="4" fillId="0" borderId="0" applyFont="0" applyAlignment="0" applyProtection="0"/>
    <xf numFmtId="9" fontId="23" fillId="0" borderId="0" applyFont="0" applyAlignment="0" applyProtection="0">
      <alignment vertical="center"/>
    </xf>
    <xf numFmtId="9" fontId="23" fillId="0" borderId="0" applyFont="0" applyAlignment="0" applyProtection="0">
      <alignment vertical="center"/>
    </xf>
    <xf numFmtId="9" fontId="23" fillId="0" borderId="0" applyFont="0" applyAlignment="0" applyProtection="0">
      <alignment vertical="center"/>
    </xf>
    <xf numFmtId="9" fontId="23" fillId="0" borderId="0" applyFont="0" applyAlignment="0" applyProtection="0">
      <alignment vertical="center"/>
    </xf>
    <xf numFmtId="9" fontId="23" fillId="0" borderId="0" applyFont="0" applyAlignment="0" applyProtection="0">
      <alignment vertical="center"/>
    </xf>
    <xf numFmtId="9" fontId="23" fillId="0" borderId="0" applyFont="0" applyAlignment="0" applyProtection="0">
      <alignment vertical="center"/>
    </xf>
    <xf numFmtId="9" fontId="23" fillId="0" borderId="0" applyFont="0" applyAlignment="0" applyProtection="0">
      <alignment vertical="center"/>
    </xf>
    <xf numFmtId="9" fontId="23" fillId="0" borderId="0" applyFont="0" applyAlignment="0" applyProtection="0">
      <alignment vertical="center"/>
    </xf>
    <xf numFmtId="9" fontId="4" fillId="0" borderId="0" applyFont="0" applyAlignment="0" applyProtection="0"/>
    <xf numFmtId="9" fontId="23" fillId="0" borderId="0" applyFont="0" applyAlignment="0" applyProtection="0">
      <alignment vertical="center"/>
    </xf>
    <xf numFmtId="9" fontId="4" fillId="0" borderId="0" applyFont="0" applyAlignment="0" applyProtection="0"/>
    <xf numFmtId="9" fontId="4" fillId="0" borderId="0" applyFont="0" applyAlignment="0" applyProtection="0"/>
    <xf numFmtId="9" fontId="4" fillId="0" borderId="0" applyFont="0" applyAlignment="0" applyProtection="0"/>
    <xf numFmtId="0" fontId="3" fillId="22" borderId="2" applyNumberFormat="0" applyFont="0" applyAlignment="0" applyProtection="0">
      <alignment vertical="center"/>
    </xf>
    <xf numFmtId="190" fontId="3" fillId="22" borderId="2" applyNumberFormat="0" applyFont="0" applyAlignment="0" applyProtection="0">
      <alignment vertical="center"/>
    </xf>
    <xf numFmtId="0" fontId="3" fillId="22" borderId="2" applyNumberFormat="0" applyFont="0" applyAlignment="0" applyProtection="0">
      <alignment vertical="center"/>
    </xf>
    <xf numFmtId="190" fontId="3" fillId="22" borderId="2" applyNumberFormat="0" applyFont="0" applyAlignment="0" applyProtection="0">
      <alignment vertical="center"/>
    </xf>
    <xf numFmtId="0" fontId="3" fillId="22" borderId="2" applyNumberFormat="0" applyFont="0" applyAlignment="0" applyProtection="0">
      <alignment vertical="center"/>
    </xf>
    <xf numFmtId="190" fontId="3" fillId="22" borderId="2" applyNumberFormat="0" applyFont="0" applyAlignment="0" applyProtection="0">
      <alignment vertical="center"/>
    </xf>
    <xf numFmtId="0" fontId="23" fillId="22" borderId="2" applyNumberFormat="0" applyFont="0" applyAlignment="0" applyProtection="0">
      <alignment vertical="center"/>
    </xf>
    <xf numFmtId="190" fontId="23" fillId="22" borderId="2" applyNumberFormat="0" applyFont="0" applyAlignment="0" applyProtection="0">
      <alignment vertical="center"/>
    </xf>
    <xf numFmtId="0" fontId="63" fillId="0" borderId="3" applyNumberFormat="0" applyAlignment="0" applyProtection="0">
      <alignment vertical="center"/>
    </xf>
    <xf numFmtId="190" fontId="63" fillId="0" borderId="3" applyNumberFormat="0" applyAlignment="0" applyProtection="0">
      <alignment vertical="center"/>
    </xf>
    <xf numFmtId="0" fontId="63" fillId="0" borderId="3" applyNumberFormat="0" applyAlignment="0" applyProtection="0">
      <alignment vertical="center"/>
    </xf>
    <xf numFmtId="190" fontId="63" fillId="0" borderId="3" applyNumberFormat="0" applyAlignment="0" applyProtection="0">
      <alignment vertical="center"/>
    </xf>
    <xf numFmtId="0" fontId="63" fillId="0" borderId="3" applyNumberFormat="0" applyAlignment="0" applyProtection="0">
      <alignment vertical="center"/>
    </xf>
    <xf numFmtId="190" fontId="63" fillId="0" borderId="3" applyNumberFormat="0" applyAlignment="0" applyProtection="0">
      <alignment vertical="center"/>
    </xf>
    <xf numFmtId="0" fontId="33" fillId="0" borderId="3" applyNumberFormat="0" applyAlignment="0" applyProtection="0">
      <alignment vertical="center"/>
    </xf>
    <xf numFmtId="190" fontId="33" fillId="0" borderId="3" applyNumberFormat="0" applyAlignment="0" applyProtection="0">
      <alignment vertical="center"/>
    </xf>
    <xf numFmtId="0" fontId="64" fillId="3" borderId="0" applyNumberFormat="0" applyAlignment="0" applyProtection="0">
      <alignment vertical="center"/>
    </xf>
    <xf numFmtId="190" fontId="64" fillId="3" borderId="0" applyNumberFormat="0" applyAlignment="0" applyProtection="0">
      <alignment vertical="center"/>
    </xf>
    <xf numFmtId="0" fontId="64" fillId="3" borderId="0" applyNumberFormat="0" applyAlignment="0" applyProtection="0">
      <alignment vertical="center"/>
    </xf>
    <xf numFmtId="190" fontId="64" fillId="3" borderId="0" applyNumberFormat="0" applyAlignment="0" applyProtection="0">
      <alignment vertical="center"/>
    </xf>
    <xf numFmtId="0" fontId="64" fillId="3" borderId="0" applyNumberFormat="0" applyAlignment="0" applyProtection="0">
      <alignment vertical="center"/>
    </xf>
    <xf numFmtId="190" fontId="64" fillId="3" borderId="0" applyNumberFormat="0" applyAlignment="0" applyProtection="0">
      <alignment vertical="center"/>
    </xf>
    <xf numFmtId="0" fontId="34" fillId="3" borderId="0" applyNumberFormat="0" applyAlignment="0" applyProtection="0">
      <alignment vertical="center"/>
    </xf>
    <xf numFmtId="190" fontId="34" fillId="3" borderId="0" applyNumberFormat="0" applyAlignment="0" applyProtection="0">
      <alignment vertical="center"/>
    </xf>
    <xf numFmtId="0" fontId="65" fillId="23" borderId="4" applyNumberFormat="0" applyAlignment="0" applyProtection="0">
      <alignment vertical="center"/>
    </xf>
    <xf numFmtId="190" fontId="65" fillId="23" borderId="4" applyNumberFormat="0" applyAlignment="0" applyProtection="0">
      <alignment vertical="center"/>
    </xf>
    <xf numFmtId="0" fontId="65" fillId="23" borderId="4" applyNumberFormat="0" applyAlignment="0" applyProtection="0">
      <alignment vertical="center"/>
    </xf>
    <xf numFmtId="190" fontId="65" fillId="23" borderId="4" applyNumberFormat="0" applyAlignment="0" applyProtection="0">
      <alignment vertical="center"/>
    </xf>
    <xf numFmtId="0" fontId="65" fillId="23" borderId="4" applyNumberFormat="0" applyAlignment="0" applyProtection="0">
      <alignment vertical="center"/>
    </xf>
    <xf numFmtId="190" fontId="65" fillId="23" borderId="4" applyNumberFormat="0" applyAlignment="0" applyProtection="0">
      <alignment vertical="center"/>
    </xf>
    <xf numFmtId="0" fontId="35" fillId="23" borderId="4" applyNumberFormat="0" applyAlignment="0" applyProtection="0">
      <alignment vertical="center"/>
    </xf>
    <xf numFmtId="190" fontId="35" fillId="23" borderId="4" applyNumberFormat="0" applyAlignment="0" applyProtection="0">
      <alignment vertical="center"/>
    </xf>
    <xf numFmtId="0" fontId="66" fillId="0" borderId="0" applyNumberFormat="0" applyAlignment="0" applyProtection="0">
      <alignment vertical="center"/>
    </xf>
    <xf numFmtId="190" fontId="66" fillId="0" borderId="0" applyNumberFormat="0" applyAlignment="0" applyProtection="0">
      <alignment vertical="center"/>
    </xf>
    <xf numFmtId="0" fontId="66" fillId="0" borderId="0" applyNumberFormat="0" applyAlignment="0" applyProtection="0">
      <alignment vertical="center"/>
    </xf>
    <xf numFmtId="190" fontId="66" fillId="0" borderId="0" applyNumberFormat="0" applyAlignment="0" applyProtection="0">
      <alignment vertical="center"/>
    </xf>
    <xf numFmtId="0" fontId="66" fillId="0" borderId="0" applyNumberFormat="0" applyAlignment="0" applyProtection="0">
      <alignment vertical="center"/>
    </xf>
    <xf numFmtId="190" fontId="66" fillId="0" borderId="0" applyNumberFormat="0" applyAlignment="0" applyProtection="0">
      <alignment vertical="center"/>
    </xf>
    <xf numFmtId="0" fontId="21" fillId="0" borderId="0" applyNumberFormat="0" applyAlignment="0" applyProtection="0">
      <alignment vertical="center"/>
    </xf>
    <xf numFmtId="190" fontId="21" fillId="0" borderId="0" applyNumberFormat="0" applyAlignment="0" applyProtection="0">
      <alignment vertical="center"/>
    </xf>
    <xf numFmtId="38" fontId="4" fillId="0" borderId="0" applyFont="0" applyAlignment="0" applyProtection="0">
      <alignment vertical="center"/>
    </xf>
    <xf numFmtId="38" fontId="7" fillId="0" borderId="0" applyFont="0" applyAlignment="0" applyProtection="0">
      <alignment vertical="center"/>
    </xf>
    <xf numFmtId="38" fontId="4" fillId="0" borderId="0" applyFont="0" applyAlignment="0" applyProtection="0"/>
    <xf numFmtId="38" fontId="4" fillId="0" borderId="0" applyFont="0" applyAlignment="0" applyProtection="0">
      <alignment vertical="center"/>
    </xf>
    <xf numFmtId="38" fontId="4" fillId="0" borderId="0" applyFont="0" applyAlignment="0" applyProtection="0">
      <alignment vertical="center"/>
    </xf>
    <xf numFmtId="38" fontId="4" fillId="0" borderId="0" applyFont="0" applyAlignment="0" applyProtection="0">
      <alignment vertical="center"/>
    </xf>
    <xf numFmtId="38" fontId="3" fillId="0" borderId="0" applyFont="0" applyAlignment="0" applyProtection="0">
      <alignment vertical="center"/>
    </xf>
    <xf numFmtId="38" fontId="4" fillId="0" borderId="0" applyFont="0" applyAlignment="0" applyProtection="0"/>
    <xf numFmtId="190" fontId="36" fillId="0" borderId="5" applyNumberFormat="0" applyAlignment="0" applyProtection="0">
      <alignment vertical="center"/>
    </xf>
    <xf numFmtId="0" fontId="36" fillId="0" borderId="5" applyNumberFormat="0" applyAlignment="0" applyProtection="0">
      <alignment vertical="center"/>
    </xf>
    <xf numFmtId="190" fontId="36" fillId="0" borderId="5" applyNumberFormat="0" applyAlignment="0" applyProtection="0">
      <alignment vertical="center"/>
    </xf>
    <xf numFmtId="0" fontId="36" fillId="0" borderId="5" applyNumberFormat="0" applyAlignment="0" applyProtection="0">
      <alignment vertical="center"/>
    </xf>
    <xf numFmtId="190" fontId="36" fillId="0" borderId="5" applyNumberFormat="0" applyAlignment="0" applyProtection="0">
      <alignment vertical="center"/>
    </xf>
    <xf numFmtId="0" fontId="36" fillId="0" borderId="5" applyNumberFormat="0" applyAlignment="0" applyProtection="0">
      <alignment vertical="center"/>
    </xf>
    <xf numFmtId="190" fontId="37" fillId="0" borderId="6" applyNumberFormat="0" applyAlignment="0" applyProtection="0">
      <alignment vertical="center"/>
    </xf>
    <xf numFmtId="0" fontId="37" fillId="0" borderId="6" applyNumberFormat="0" applyAlignment="0" applyProtection="0">
      <alignment vertical="center"/>
    </xf>
    <xf numFmtId="190" fontId="37" fillId="0" borderId="6" applyNumberFormat="0" applyAlignment="0" applyProtection="0">
      <alignment vertical="center"/>
    </xf>
    <xf numFmtId="0" fontId="37" fillId="0" borderId="6" applyNumberFormat="0" applyAlignment="0" applyProtection="0">
      <alignment vertical="center"/>
    </xf>
    <xf numFmtId="190" fontId="37" fillId="0" borderId="6" applyNumberFormat="0" applyAlignment="0" applyProtection="0">
      <alignment vertical="center"/>
    </xf>
    <xf numFmtId="0" fontId="37" fillId="0" borderId="6" applyNumberFormat="0" applyAlignment="0" applyProtection="0">
      <alignment vertical="center"/>
    </xf>
    <xf numFmtId="190" fontId="38" fillId="0" borderId="7" applyNumberFormat="0" applyAlignment="0" applyProtection="0">
      <alignment vertical="center"/>
    </xf>
    <xf numFmtId="0" fontId="38" fillId="0" borderId="7" applyNumberFormat="0" applyAlignment="0" applyProtection="0">
      <alignment vertical="center"/>
    </xf>
    <xf numFmtId="190" fontId="38" fillId="0" borderId="7" applyNumberFormat="0" applyAlignment="0" applyProtection="0">
      <alignment vertical="center"/>
    </xf>
    <xf numFmtId="0" fontId="38" fillId="0" borderId="7" applyNumberFormat="0" applyAlignment="0" applyProtection="0">
      <alignment vertical="center"/>
    </xf>
    <xf numFmtId="190" fontId="38" fillId="0" borderId="7" applyNumberFormat="0" applyAlignment="0" applyProtection="0">
      <alignment vertical="center"/>
    </xf>
    <xf numFmtId="0" fontId="38" fillId="0" borderId="7" applyNumberFormat="0" applyAlignment="0" applyProtection="0">
      <alignment vertical="center"/>
    </xf>
    <xf numFmtId="190" fontId="38" fillId="0" borderId="0" applyNumberFormat="0" applyAlignment="0" applyProtection="0">
      <alignment vertical="center"/>
    </xf>
    <xf numFmtId="0" fontId="38" fillId="0" borderId="0" applyNumberFormat="0" applyAlignment="0" applyProtection="0">
      <alignment vertical="center"/>
    </xf>
    <xf numFmtId="190" fontId="38" fillId="0" borderId="0" applyNumberFormat="0" applyAlignment="0" applyProtection="0">
      <alignment vertical="center"/>
    </xf>
    <xf numFmtId="0" fontId="38" fillId="0" borderId="0" applyNumberFormat="0" applyAlignment="0" applyProtection="0">
      <alignment vertical="center"/>
    </xf>
    <xf numFmtId="190" fontId="38" fillId="0" borderId="0" applyNumberFormat="0" applyAlignment="0" applyProtection="0">
      <alignment vertical="center"/>
    </xf>
    <xf numFmtId="0" fontId="38" fillId="0" borderId="0" applyNumberFormat="0" applyAlignment="0" applyProtection="0">
      <alignment vertical="center"/>
    </xf>
    <xf numFmtId="0" fontId="39" fillId="0" borderId="8" applyNumberFormat="0" applyAlignment="0" applyProtection="0">
      <alignment vertical="center"/>
    </xf>
    <xf numFmtId="0" fontId="39" fillId="0" borderId="10" applyNumberFormat="0" applyAlignment="0" applyProtection="0">
      <alignment vertical="center"/>
    </xf>
    <xf numFmtId="190" fontId="67" fillId="0" borderId="8" applyNumberFormat="0" applyAlignment="0" applyProtection="0">
      <alignment vertical="center"/>
    </xf>
    <xf numFmtId="0" fontId="39" fillId="0" borderId="10" applyNumberFormat="0" applyAlignment="0" applyProtection="0">
      <alignment vertical="center"/>
    </xf>
    <xf numFmtId="190" fontId="39" fillId="0" borderId="10" applyNumberFormat="0" applyAlignment="0" applyProtection="0">
      <alignment vertical="center"/>
    </xf>
    <xf numFmtId="0" fontId="39" fillId="0" borderId="10" applyNumberFormat="0" applyAlignment="0" applyProtection="0">
      <alignment vertical="center"/>
    </xf>
    <xf numFmtId="190" fontId="39" fillId="0" borderId="10" applyNumberFormat="0" applyAlignment="0" applyProtection="0">
      <alignment vertical="center"/>
    </xf>
    <xf numFmtId="0" fontId="39" fillId="0" borderId="10" applyNumberFormat="0" applyAlignment="0" applyProtection="0">
      <alignment vertical="center"/>
    </xf>
    <xf numFmtId="190" fontId="39" fillId="0" borderId="10"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39" fillId="0" borderId="10" applyNumberFormat="0" applyAlignment="0" applyProtection="0">
      <alignment vertical="center"/>
    </xf>
    <xf numFmtId="0" fontId="39" fillId="0" borderId="10" applyNumberFormat="0" applyAlignment="0" applyProtection="0">
      <alignment vertical="center"/>
    </xf>
    <xf numFmtId="0" fontId="67" fillId="0" borderId="8" applyNumberFormat="0" applyAlignment="0" applyProtection="0">
      <alignment vertical="center"/>
    </xf>
    <xf numFmtId="190" fontId="39" fillId="0" borderId="10" applyNumberFormat="0" applyAlignment="0" applyProtection="0">
      <alignment vertical="center"/>
    </xf>
    <xf numFmtId="0" fontId="39" fillId="0" borderId="10"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190" fontId="67" fillId="0" borderId="8" applyNumberFormat="0" applyAlignment="0" applyProtection="0">
      <alignment vertical="center"/>
    </xf>
    <xf numFmtId="0" fontId="39" fillId="0" borderId="10" applyNumberFormat="0" applyAlignment="0" applyProtection="0">
      <alignment vertical="center"/>
    </xf>
    <xf numFmtId="0" fontId="39" fillId="0" borderId="10" applyNumberFormat="0" applyAlignment="0" applyProtection="0">
      <alignment vertical="center"/>
    </xf>
    <xf numFmtId="0" fontId="67" fillId="0" borderId="8" applyNumberFormat="0" applyAlignment="0" applyProtection="0">
      <alignment vertical="center"/>
    </xf>
    <xf numFmtId="190" fontId="39" fillId="0" borderId="10" applyNumberFormat="0" applyAlignment="0" applyProtection="0">
      <alignment vertical="center"/>
    </xf>
    <xf numFmtId="0" fontId="39" fillId="0" borderId="10"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0" fontId="67" fillId="0" borderId="8" applyNumberFormat="0" applyAlignment="0" applyProtection="0">
      <alignment vertical="center"/>
    </xf>
    <xf numFmtId="190" fontId="67" fillId="0" borderId="8" applyNumberFormat="0" applyAlignment="0" applyProtection="0">
      <alignment vertical="center"/>
    </xf>
    <xf numFmtId="190" fontId="67" fillId="0" borderId="8" applyNumberFormat="0" applyAlignment="0" applyProtection="0">
      <alignment vertical="center"/>
    </xf>
    <xf numFmtId="0" fontId="39" fillId="0" borderId="10" applyNumberFormat="0" applyAlignment="0" applyProtection="0">
      <alignment vertical="center"/>
    </xf>
    <xf numFmtId="0" fontId="39" fillId="0" borderId="10" applyNumberFormat="0" applyAlignment="0" applyProtection="0">
      <alignment vertical="center"/>
    </xf>
    <xf numFmtId="190" fontId="39" fillId="0" borderId="10" applyNumberFormat="0" applyAlignment="0" applyProtection="0">
      <alignment vertical="center"/>
    </xf>
    <xf numFmtId="0" fontId="39" fillId="0" borderId="8" applyNumberFormat="0" applyAlignment="0" applyProtection="0">
      <alignment vertical="center"/>
    </xf>
    <xf numFmtId="190" fontId="39" fillId="0" borderId="8" applyNumberFormat="0" applyAlignment="0" applyProtection="0">
      <alignment vertical="center"/>
    </xf>
    <xf numFmtId="0" fontId="39" fillId="0" borderId="8" applyNumberFormat="0" applyAlignment="0" applyProtection="0">
      <alignment vertical="center"/>
    </xf>
    <xf numFmtId="190" fontId="39" fillId="0" borderId="8" applyNumberFormat="0" applyAlignment="0" applyProtection="0">
      <alignment vertical="center"/>
    </xf>
    <xf numFmtId="0" fontId="67" fillId="0" borderId="8" applyNumberFormat="0" applyAlignment="0" applyProtection="0">
      <alignment vertical="center"/>
    </xf>
    <xf numFmtId="0" fontId="67" fillId="0" borderId="8" applyNumberFormat="0" applyAlignment="0" applyProtection="0">
      <alignment vertical="center"/>
    </xf>
    <xf numFmtId="0" fontId="39" fillId="0" borderId="8" applyNumberFormat="0" applyAlignment="0" applyProtection="0">
      <alignment vertical="center"/>
    </xf>
    <xf numFmtId="0" fontId="68" fillId="23" borderId="9" applyNumberFormat="0" applyAlignment="0" applyProtection="0">
      <alignment vertical="center"/>
    </xf>
    <xf numFmtId="190" fontId="68" fillId="23" borderId="9" applyNumberFormat="0" applyAlignment="0" applyProtection="0">
      <alignment vertical="center"/>
    </xf>
    <xf numFmtId="0" fontId="68" fillId="23" borderId="9" applyNumberFormat="0" applyAlignment="0" applyProtection="0">
      <alignment vertical="center"/>
    </xf>
    <xf numFmtId="190" fontId="68" fillId="23" borderId="9" applyNumberFormat="0" applyAlignment="0" applyProtection="0">
      <alignment vertical="center"/>
    </xf>
    <xf numFmtId="0" fontId="68" fillId="23" borderId="9" applyNumberFormat="0" applyAlignment="0" applyProtection="0">
      <alignment vertical="center"/>
    </xf>
    <xf numFmtId="190" fontId="68" fillId="23" borderId="9" applyNumberFormat="0" applyAlignment="0" applyProtection="0">
      <alignment vertical="center"/>
    </xf>
    <xf numFmtId="0" fontId="40" fillId="23" borderId="9" applyNumberFormat="0" applyAlignment="0" applyProtection="0">
      <alignment vertical="center"/>
    </xf>
    <xf numFmtId="190" fontId="40" fillId="23" borderId="9" applyNumberFormat="0" applyAlignment="0" applyProtection="0">
      <alignment vertical="center"/>
    </xf>
    <xf numFmtId="0" fontId="69" fillId="0" borderId="0" applyNumberFormat="0" applyAlignment="0" applyProtection="0">
      <alignment vertical="center"/>
    </xf>
    <xf numFmtId="190" fontId="69" fillId="0" borderId="0" applyNumberFormat="0" applyAlignment="0" applyProtection="0">
      <alignment vertical="center"/>
    </xf>
    <xf numFmtId="0" fontId="69" fillId="0" borderId="0" applyNumberFormat="0" applyAlignment="0" applyProtection="0">
      <alignment vertical="center"/>
    </xf>
    <xf numFmtId="190" fontId="69" fillId="0" borderId="0" applyNumberFormat="0" applyAlignment="0" applyProtection="0">
      <alignment vertical="center"/>
    </xf>
    <xf numFmtId="0" fontId="69" fillId="0" borderId="0" applyNumberFormat="0" applyAlignment="0" applyProtection="0">
      <alignment vertical="center"/>
    </xf>
    <xf numFmtId="190" fontId="69" fillId="0" borderId="0" applyNumberFormat="0" applyAlignment="0" applyProtection="0">
      <alignment vertical="center"/>
    </xf>
    <xf numFmtId="0" fontId="41" fillId="0" borderId="0" applyNumberFormat="0" applyAlignment="0" applyProtection="0">
      <alignment vertical="center"/>
    </xf>
    <xf numFmtId="190" fontId="41" fillId="0" borderId="0" applyNumberFormat="0" applyAlignment="0" applyProtection="0">
      <alignment vertical="center"/>
    </xf>
    <xf numFmtId="6" fontId="4" fillId="0" borderId="0" applyFont="0" applyAlignment="0" applyProtection="0"/>
    <xf numFmtId="6" fontId="4" fillId="0" borderId="0" applyFont="0" applyAlignment="0" applyProtection="0">
      <alignment vertical="center"/>
    </xf>
    <xf numFmtId="6" fontId="4" fillId="0" borderId="0" applyFont="0" applyAlignment="0" applyProtection="0"/>
    <xf numFmtId="6" fontId="4" fillId="0" borderId="0" applyFont="0" applyAlignment="0" applyProtection="0"/>
    <xf numFmtId="6" fontId="4" fillId="0" borderId="0" applyFont="0" applyAlignment="0" applyProtection="0">
      <alignment vertical="center"/>
    </xf>
    <xf numFmtId="0" fontId="70" fillId="7" borderId="4" applyNumberFormat="0" applyAlignment="0" applyProtection="0">
      <alignment vertical="center"/>
    </xf>
    <xf numFmtId="190" fontId="70" fillId="7" borderId="4" applyNumberFormat="0" applyAlignment="0" applyProtection="0">
      <alignment vertical="center"/>
    </xf>
    <xf numFmtId="0" fontId="70" fillId="7" borderId="4" applyNumberFormat="0" applyAlignment="0" applyProtection="0">
      <alignment vertical="center"/>
    </xf>
    <xf numFmtId="190" fontId="70" fillId="7" borderId="4" applyNumberFormat="0" applyAlignment="0" applyProtection="0">
      <alignment vertical="center"/>
    </xf>
    <xf numFmtId="0" fontId="70" fillId="7" borderId="4" applyNumberFormat="0" applyAlignment="0" applyProtection="0">
      <alignment vertical="center"/>
    </xf>
    <xf numFmtId="190" fontId="70" fillId="7" borderId="4" applyNumberFormat="0" applyAlignment="0" applyProtection="0">
      <alignment vertical="center"/>
    </xf>
    <xf numFmtId="0" fontId="42" fillId="7" borderId="4" applyNumberFormat="0" applyAlignment="0" applyProtection="0">
      <alignment vertical="center"/>
    </xf>
    <xf numFmtId="190" fontId="42" fillId="7" borderId="4" applyNumberFormat="0" applyAlignment="0" applyProtection="0">
      <alignment vertical="center"/>
    </xf>
    <xf numFmtId="0" fontId="5" fillId="0" borderId="0">
      <alignment vertical="center"/>
    </xf>
    <xf numFmtId="0" fontId="7" fillId="0" borderId="0">
      <alignment vertical="center"/>
    </xf>
    <xf numFmtId="0" fontId="7" fillId="0" borderId="0">
      <alignment vertical="center"/>
    </xf>
    <xf numFmtId="190" fontId="4" fillId="0" borderId="0">
      <alignment vertical="center"/>
    </xf>
    <xf numFmtId="0" fontId="23" fillId="0" borderId="0">
      <alignment vertical="center"/>
    </xf>
    <xf numFmtId="0" fontId="23" fillId="0" borderId="0">
      <alignment vertical="center"/>
    </xf>
    <xf numFmtId="0" fontId="23" fillId="0" borderId="0">
      <alignment vertical="center"/>
    </xf>
    <xf numFmtId="190" fontId="9" fillId="0" borderId="0"/>
    <xf numFmtId="0" fontId="9" fillId="0" borderId="0"/>
    <xf numFmtId="0" fontId="18" fillId="0" borderId="0"/>
    <xf numFmtId="190" fontId="4" fillId="0" borderId="0"/>
    <xf numFmtId="0" fontId="7" fillId="0" borderId="0">
      <alignment vertical="center"/>
    </xf>
    <xf numFmtId="0" fontId="58" fillId="0" borderId="0">
      <alignment vertical="center"/>
    </xf>
    <xf numFmtId="0" fontId="4" fillId="0" borderId="0">
      <alignment vertical="center"/>
    </xf>
    <xf numFmtId="0" fontId="18" fillId="0" borderId="0"/>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18" fillId="0" borderId="0"/>
    <xf numFmtId="0" fontId="4" fillId="0" borderId="0">
      <alignment vertical="center"/>
    </xf>
    <xf numFmtId="0" fontId="7" fillId="0" borderId="0">
      <alignment vertical="center"/>
    </xf>
    <xf numFmtId="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0" fontId="4" fillId="0" borderId="0"/>
    <xf numFmtId="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190" fontId="4" fillId="0" borderId="0">
      <alignment vertical="center"/>
    </xf>
    <xf numFmtId="0" fontId="4" fillId="0" borderId="0">
      <alignment vertical="center"/>
    </xf>
    <xf numFmtId="0" fontId="7" fillId="0" borderId="0">
      <alignment vertical="center"/>
    </xf>
    <xf numFmtId="190" fontId="7" fillId="0" borderId="0">
      <alignment vertical="center"/>
    </xf>
    <xf numFmtId="0" fontId="7" fillId="0" borderId="0">
      <alignment vertical="center"/>
    </xf>
    <xf numFmtId="19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7" fillId="0" borderId="0">
      <alignment vertical="center"/>
    </xf>
    <xf numFmtId="190" fontId="7" fillId="0" borderId="0">
      <alignment vertical="center"/>
    </xf>
    <xf numFmtId="0" fontId="4" fillId="0" borderId="0">
      <alignment vertical="center"/>
    </xf>
    <xf numFmtId="190" fontId="4" fillId="0" borderId="0">
      <alignment vertical="center"/>
    </xf>
    <xf numFmtId="0" fontId="4" fillId="0" borderId="0">
      <alignment vertical="center"/>
    </xf>
    <xf numFmtId="0" fontId="3" fillId="0" borderId="0">
      <alignment vertical="center"/>
    </xf>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0" fontId="4" fillId="0" borderId="0"/>
    <xf numFmtId="0" fontId="7" fillId="0" borderId="0">
      <alignment vertical="center"/>
    </xf>
    <xf numFmtId="0" fontId="23" fillId="0" borderId="0">
      <alignment vertical="center"/>
    </xf>
    <xf numFmtId="0" fontId="23" fillId="0" borderId="0">
      <alignment vertical="center"/>
    </xf>
    <xf numFmtId="190" fontId="23" fillId="0" borderId="0">
      <alignment vertical="center"/>
    </xf>
    <xf numFmtId="190" fontId="23" fillId="0" borderId="0">
      <alignment vertical="center"/>
    </xf>
    <xf numFmtId="0" fontId="23" fillId="0" borderId="0">
      <alignment vertical="center"/>
    </xf>
    <xf numFmtId="0" fontId="23" fillId="0" borderId="0">
      <alignment vertical="center"/>
    </xf>
    <xf numFmtId="190" fontId="23" fillId="0" borderId="0">
      <alignment vertical="center"/>
    </xf>
    <xf numFmtId="190" fontId="23" fillId="0" borderId="0">
      <alignment vertical="center"/>
    </xf>
    <xf numFmtId="0" fontId="23" fillId="0" borderId="0">
      <alignment vertical="center"/>
    </xf>
    <xf numFmtId="0" fontId="23" fillId="0" borderId="0">
      <alignment vertical="center"/>
    </xf>
    <xf numFmtId="190" fontId="23" fillId="0" borderId="0">
      <alignment vertical="center"/>
    </xf>
    <xf numFmtId="190" fontId="23" fillId="0" borderId="0">
      <alignment vertical="center"/>
    </xf>
    <xf numFmtId="0" fontId="23" fillId="0" borderId="0">
      <alignment vertical="center"/>
    </xf>
    <xf numFmtId="0" fontId="23" fillId="0" borderId="0">
      <alignment vertical="center"/>
    </xf>
    <xf numFmtId="190" fontId="23" fillId="0" borderId="0">
      <alignment vertical="center"/>
    </xf>
    <xf numFmtId="190" fontId="23" fillId="0" borderId="0">
      <alignment vertical="center"/>
    </xf>
    <xf numFmtId="0" fontId="23" fillId="0" borderId="0">
      <alignment vertical="center"/>
    </xf>
    <xf numFmtId="190" fontId="23" fillId="0" borderId="0">
      <alignment vertical="center"/>
    </xf>
    <xf numFmtId="0" fontId="23" fillId="0" borderId="0">
      <alignment vertical="center"/>
    </xf>
    <xf numFmtId="190" fontId="7" fillId="0" borderId="0">
      <alignment vertical="center"/>
    </xf>
    <xf numFmtId="0" fontId="7" fillId="0" borderId="0">
      <alignment vertical="center"/>
    </xf>
    <xf numFmtId="0" fontId="23" fillId="0" borderId="0">
      <alignment vertical="center"/>
    </xf>
    <xf numFmtId="0" fontId="3" fillId="0" borderId="0">
      <alignment vertical="center"/>
    </xf>
    <xf numFmtId="190" fontId="3" fillId="0" borderId="0">
      <alignment vertical="center"/>
    </xf>
    <xf numFmtId="0" fontId="4" fillId="0" borderId="0">
      <alignment vertical="center"/>
    </xf>
    <xf numFmtId="0" fontId="23" fillId="0" borderId="0">
      <alignment vertical="center"/>
    </xf>
    <xf numFmtId="190" fontId="4" fillId="0" borderId="0">
      <alignment vertical="center"/>
    </xf>
    <xf numFmtId="0" fontId="18" fillId="0" borderId="0"/>
    <xf numFmtId="0" fontId="4" fillId="0" borderId="0">
      <alignment vertical="center"/>
    </xf>
    <xf numFmtId="0" fontId="18" fillId="0" borderId="0"/>
    <xf numFmtId="190" fontId="4" fillId="0" borderId="0">
      <alignment vertical="center"/>
    </xf>
    <xf numFmtId="0" fontId="4" fillId="0" borderId="0">
      <alignment vertical="center"/>
    </xf>
    <xf numFmtId="0" fontId="18" fillId="0" borderId="0"/>
    <xf numFmtId="19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90" fontId="4" fillId="0" borderId="0"/>
    <xf numFmtId="0" fontId="4" fillId="0" borderId="0"/>
    <xf numFmtId="0" fontId="4" fillId="0" borderId="0"/>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190" fontId="4" fillId="0" borderId="0">
      <alignment vertical="center"/>
    </xf>
    <xf numFmtId="0" fontId="4" fillId="0" borderId="0">
      <alignment vertical="center"/>
    </xf>
    <xf numFmtId="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0" fontId="4" fillId="0" borderId="0"/>
    <xf numFmtId="0" fontId="4" fillId="0" borderId="0"/>
    <xf numFmtId="0" fontId="3" fillId="0" borderId="0">
      <alignment vertical="center"/>
    </xf>
    <xf numFmtId="190" fontId="3" fillId="0" borderId="0">
      <alignment vertical="center"/>
    </xf>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7" fillId="0" borderId="0">
      <alignment vertical="center"/>
    </xf>
    <xf numFmtId="0" fontId="4" fillId="0" borderId="0">
      <alignment vertical="center"/>
    </xf>
    <xf numFmtId="0" fontId="4" fillId="0" borderId="0"/>
    <xf numFmtId="190" fontId="7" fillId="0" borderId="0">
      <alignment vertical="center"/>
    </xf>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alignment vertical="center"/>
    </xf>
    <xf numFmtId="0" fontId="9"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23" fillId="0" borderId="0">
      <alignment vertical="center"/>
    </xf>
    <xf numFmtId="0" fontId="23" fillId="0" borderId="0">
      <alignment vertical="center"/>
    </xf>
    <xf numFmtId="190" fontId="23" fillId="0" borderId="0">
      <alignment vertical="center"/>
    </xf>
    <xf numFmtId="190" fontId="23" fillId="0" borderId="0">
      <alignment vertical="center"/>
    </xf>
    <xf numFmtId="0" fontId="23" fillId="0" borderId="0">
      <alignment vertical="center"/>
    </xf>
    <xf numFmtId="0" fontId="23" fillId="0" borderId="0">
      <alignment vertical="center"/>
    </xf>
    <xf numFmtId="190" fontId="23" fillId="0" borderId="0">
      <alignment vertical="center"/>
    </xf>
    <xf numFmtId="190" fontId="23" fillId="0" borderId="0">
      <alignment vertical="center"/>
    </xf>
    <xf numFmtId="0" fontId="23" fillId="0" borderId="0">
      <alignment vertical="center"/>
    </xf>
    <xf numFmtId="0" fontId="23" fillId="0" borderId="0">
      <alignment vertical="center"/>
    </xf>
    <xf numFmtId="190" fontId="23" fillId="0" borderId="0">
      <alignment vertical="center"/>
    </xf>
    <xf numFmtId="190" fontId="23" fillId="0" borderId="0">
      <alignment vertical="center"/>
    </xf>
    <xf numFmtId="0" fontId="23" fillId="0" borderId="0">
      <alignment vertical="center"/>
    </xf>
    <xf numFmtId="0" fontId="23" fillId="0" borderId="0">
      <alignment vertical="center"/>
    </xf>
    <xf numFmtId="190" fontId="23" fillId="0" borderId="0">
      <alignment vertical="center"/>
    </xf>
    <xf numFmtId="190" fontId="23" fillId="0" borderId="0">
      <alignment vertical="center"/>
    </xf>
    <xf numFmtId="0" fontId="23" fillId="0" borderId="0">
      <alignment vertical="center"/>
    </xf>
    <xf numFmtId="190" fontId="23" fillId="0" borderId="0">
      <alignment vertical="center"/>
    </xf>
    <xf numFmtId="0" fontId="7" fillId="0" borderId="0">
      <alignment vertical="center"/>
    </xf>
    <xf numFmtId="190" fontId="7" fillId="0" borderId="0">
      <alignment vertical="center"/>
    </xf>
    <xf numFmtId="0" fontId="23" fillId="0" borderId="0">
      <alignment vertical="center"/>
    </xf>
    <xf numFmtId="0" fontId="6" fillId="0" borderId="0"/>
    <xf numFmtId="190" fontId="6"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alignment vertical="center"/>
    </xf>
    <xf numFmtId="0" fontId="4" fillId="0" borderId="0"/>
    <xf numFmtId="0" fontId="4" fillId="0" borderId="0">
      <alignment vertical="center"/>
    </xf>
    <xf numFmtId="190" fontId="4" fillId="0" borderId="0">
      <alignment vertical="center"/>
    </xf>
    <xf numFmtId="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190" fontId="4" fillId="0" borderId="0">
      <alignment vertical="center"/>
    </xf>
    <xf numFmtId="0" fontId="4" fillId="0" borderId="0">
      <alignment vertical="center"/>
    </xf>
    <xf numFmtId="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190" fontId="4" fillId="0" borderId="0">
      <alignment vertical="center"/>
    </xf>
    <xf numFmtId="0" fontId="4" fillId="0" borderId="0">
      <alignment vertical="center"/>
    </xf>
    <xf numFmtId="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190" fontId="4" fillId="0" borderId="0">
      <alignment vertical="center"/>
    </xf>
    <xf numFmtId="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190" fontId="4" fillId="0" borderId="0">
      <alignment vertical="center"/>
    </xf>
    <xf numFmtId="0" fontId="4" fillId="0" borderId="0">
      <alignment vertical="center"/>
    </xf>
    <xf numFmtId="0" fontId="4" fillId="0" borderId="0">
      <alignment vertical="center"/>
    </xf>
    <xf numFmtId="190" fontId="4" fillId="0" borderId="0">
      <alignment vertical="center"/>
    </xf>
    <xf numFmtId="0" fontId="4" fillId="0" borderId="0">
      <alignment vertical="center"/>
    </xf>
    <xf numFmtId="0" fontId="18" fillId="0" borderId="0"/>
    <xf numFmtId="0" fontId="4" fillId="0" borderId="0">
      <alignment vertical="center"/>
    </xf>
    <xf numFmtId="0" fontId="7" fillId="0" borderId="0">
      <alignment vertical="center"/>
    </xf>
    <xf numFmtId="0" fontId="23" fillId="0" borderId="0">
      <alignment vertical="center"/>
    </xf>
    <xf numFmtId="0" fontId="23" fillId="0" borderId="0">
      <alignment vertical="center"/>
    </xf>
    <xf numFmtId="190" fontId="23" fillId="0" borderId="0">
      <alignment vertical="center"/>
    </xf>
    <xf numFmtId="0" fontId="7" fillId="0" borderId="0">
      <alignment vertical="center"/>
    </xf>
    <xf numFmtId="190" fontId="8" fillId="0" borderId="0">
      <alignment vertical="center"/>
    </xf>
    <xf numFmtId="0" fontId="8" fillId="0" borderId="0">
      <alignment vertical="center"/>
    </xf>
    <xf numFmtId="0" fontId="72" fillId="0" borderId="0">
      <alignment vertical="center"/>
    </xf>
    <xf numFmtId="0" fontId="23" fillId="0" borderId="0">
      <alignment vertical="center"/>
    </xf>
    <xf numFmtId="190" fontId="7" fillId="0" borderId="0">
      <alignment vertical="center"/>
    </xf>
    <xf numFmtId="0" fontId="7" fillId="0" borderId="0">
      <alignment vertical="center"/>
    </xf>
    <xf numFmtId="0" fontId="8" fillId="0" borderId="0">
      <alignment vertical="center"/>
    </xf>
    <xf numFmtId="19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4" fillId="0" borderId="0">
      <alignment vertical="center"/>
    </xf>
    <xf numFmtId="0" fontId="23" fillId="0" borderId="0">
      <alignment vertical="center"/>
    </xf>
    <xf numFmtId="0" fontId="4" fillId="0" borderId="0">
      <alignment vertical="center"/>
    </xf>
    <xf numFmtId="0" fontId="4" fillId="0" borderId="0">
      <alignment vertical="center"/>
    </xf>
    <xf numFmtId="0" fontId="4" fillId="0" borderId="0">
      <alignment vertical="center"/>
    </xf>
    <xf numFmtId="190" fontId="4" fillId="0" borderId="0">
      <alignment vertical="center"/>
    </xf>
    <xf numFmtId="0" fontId="23" fillId="0" borderId="0">
      <alignment vertical="center"/>
    </xf>
    <xf numFmtId="0" fontId="71" fillId="4" borderId="0" applyNumberFormat="0" applyAlignment="0" applyProtection="0">
      <alignment vertical="center"/>
    </xf>
    <xf numFmtId="190" fontId="71" fillId="4" borderId="0" applyNumberFormat="0" applyAlignment="0" applyProtection="0">
      <alignment vertical="center"/>
    </xf>
    <xf numFmtId="0" fontId="71" fillId="4" borderId="0" applyNumberFormat="0" applyAlignment="0" applyProtection="0">
      <alignment vertical="center"/>
    </xf>
    <xf numFmtId="190" fontId="71" fillId="4" borderId="0" applyNumberFormat="0" applyAlignment="0" applyProtection="0">
      <alignment vertical="center"/>
    </xf>
    <xf numFmtId="0" fontId="71" fillId="4" borderId="0" applyNumberFormat="0" applyAlignment="0" applyProtection="0">
      <alignment vertical="center"/>
    </xf>
    <xf numFmtId="190" fontId="71" fillId="4" borderId="0" applyNumberFormat="0" applyAlignment="0" applyProtection="0">
      <alignment vertical="center"/>
    </xf>
    <xf numFmtId="0" fontId="43" fillId="4" borderId="0" applyNumberFormat="0" applyAlignment="0" applyProtection="0">
      <alignment vertical="center"/>
    </xf>
    <xf numFmtId="190" fontId="43" fillId="4" borderId="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5" fillId="0" borderId="0"/>
    <xf numFmtId="0" fontId="96" fillId="0" borderId="0"/>
  </cellStyleXfs>
  <cellXfs count="1803">
    <xf numFmtId="0" fontId="0" fillId="0" borderId="0" xfId="0">
      <alignment vertical="center"/>
    </xf>
    <xf numFmtId="0" fontId="5" fillId="28" borderId="11" xfId="0" applyFont="1" applyFill="1" applyBorder="1" applyAlignment="1">
      <alignment vertical="center" wrapText="1"/>
    </xf>
    <xf numFmtId="0" fontId="5" fillId="31" borderId="11" xfId="0" applyFont="1" applyFill="1" applyBorder="1" applyAlignment="1">
      <alignment vertical="center" wrapText="1"/>
    </xf>
    <xf numFmtId="49" fontId="0" fillId="0" borderId="0" xfId="0" applyNumberFormat="1">
      <alignment vertical="center"/>
    </xf>
    <xf numFmtId="0" fontId="0" fillId="32" borderId="0" xfId="0" applyFill="1">
      <alignment vertical="center"/>
    </xf>
    <xf numFmtId="0" fontId="0" fillId="30" borderId="0" xfId="0" applyFill="1">
      <alignment vertical="center"/>
    </xf>
    <xf numFmtId="0" fontId="0" fillId="33" borderId="0" xfId="0" applyFill="1">
      <alignment vertical="center"/>
    </xf>
    <xf numFmtId="0" fontId="5" fillId="28" borderId="13" xfId="0" applyFont="1" applyFill="1" applyBorder="1" applyAlignment="1">
      <alignment vertical="center" wrapText="1"/>
    </xf>
    <xf numFmtId="0" fontId="5" fillId="28" borderId="14" xfId="0" applyFont="1" applyFill="1" applyBorder="1" applyAlignment="1">
      <alignment vertical="center" wrapText="1"/>
    </xf>
    <xf numFmtId="0" fontId="5" fillId="31" borderId="13" xfId="0" applyFont="1" applyFill="1" applyBorder="1" applyAlignment="1">
      <alignment vertical="center" wrapText="1"/>
    </xf>
    <xf numFmtId="0" fontId="7" fillId="0" borderId="0" xfId="0" applyFo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21" fillId="0" borderId="0" xfId="0" applyFont="1" applyAlignment="1">
      <alignment horizontal="left" vertical="center"/>
    </xf>
    <xf numFmtId="0" fontId="10"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xf>
    <xf numFmtId="0" fontId="2" fillId="0" borderId="0" xfId="1">
      <alignment vertical="center"/>
    </xf>
    <xf numFmtId="0" fontId="28" fillId="0" borderId="0" xfId="2" applyNumberFormat="1" applyAlignment="1" applyProtection="1">
      <alignment vertical="center"/>
    </xf>
    <xf numFmtId="0" fontId="19" fillId="0" borderId="0" xfId="1" applyFont="1" applyProtection="1">
      <alignment vertical="center"/>
      <protection locked="0"/>
    </xf>
    <xf numFmtId="0" fontId="28" fillId="0" borderId="0" xfId="2" applyNumberFormat="1" applyAlignment="1" applyProtection="1">
      <alignment horizontal="center" vertical="center"/>
    </xf>
    <xf numFmtId="0" fontId="0" fillId="0" borderId="0" xfId="1" applyFont="1" applyProtection="1">
      <alignment vertical="center"/>
      <protection locked="0"/>
    </xf>
    <xf numFmtId="49" fontId="2" fillId="0" borderId="0" xfId="1" applyNumberFormat="1">
      <alignment vertical="center"/>
    </xf>
    <xf numFmtId="0" fontId="22" fillId="0" borderId="0" xfId="1" applyFont="1">
      <alignment vertical="center"/>
    </xf>
    <xf numFmtId="0" fontId="2" fillId="0" borderId="0" xfId="1" applyAlignment="1">
      <alignment horizontal="center" vertical="center"/>
    </xf>
    <xf numFmtId="0" fontId="5" fillId="0" borderId="12" xfId="3" applyFont="1" applyBorder="1" applyProtection="1">
      <alignment vertical="center"/>
      <protection locked="0"/>
    </xf>
    <xf numFmtId="0" fontId="5" fillId="28" borderId="0" xfId="0" applyFont="1" applyFill="1" applyAlignment="1">
      <alignment vertical="center" wrapText="1"/>
    </xf>
    <xf numFmtId="0" fontId="5" fillId="28" borderId="15" xfId="0" applyFont="1" applyFill="1" applyBorder="1" applyAlignment="1">
      <alignment vertical="center" wrapText="1"/>
    </xf>
    <xf numFmtId="0" fontId="5" fillId="28" borderId="11" xfId="0" applyFont="1" applyFill="1" applyBorder="1" applyAlignment="1">
      <alignment vertical="center" shrinkToFit="1"/>
    </xf>
    <xf numFmtId="0" fontId="5" fillId="28" borderId="14" xfId="0" applyFont="1" applyFill="1" applyBorder="1" applyAlignment="1">
      <alignment vertical="center" shrinkToFit="1"/>
    </xf>
    <xf numFmtId="0" fontId="4" fillId="0" borderId="0" xfId="56">
      <alignment vertical="center"/>
    </xf>
    <xf numFmtId="0" fontId="15" fillId="0" borderId="0" xfId="56" applyFont="1">
      <alignment vertical="center"/>
    </xf>
    <xf numFmtId="0" fontId="17" fillId="0" borderId="0" xfId="56" applyFont="1">
      <alignment vertical="center"/>
    </xf>
    <xf numFmtId="0" fontId="5" fillId="34" borderId="0" xfId="0" applyFont="1" applyFill="1" applyAlignment="1">
      <alignment vertical="center" wrapText="1"/>
    </xf>
    <xf numFmtId="0" fontId="45" fillId="0" borderId="0" xfId="0" applyFont="1">
      <alignment vertical="center"/>
    </xf>
    <xf numFmtId="49" fontId="5" fillId="0" borderId="0" xfId="0" applyNumberFormat="1"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top" wrapText="1"/>
    </xf>
    <xf numFmtId="49" fontId="5" fillId="34" borderId="13" xfId="0" applyNumberFormat="1" applyFont="1" applyFill="1" applyBorder="1" applyAlignment="1">
      <alignment horizontal="left" vertical="center"/>
    </xf>
    <xf numFmtId="49" fontId="5" fillId="34" borderId="15" xfId="0" applyNumberFormat="1" applyFont="1" applyFill="1" applyBorder="1" applyAlignment="1">
      <alignment horizontal="left" vertical="center"/>
    </xf>
    <xf numFmtId="49" fontId="5" fillId="34" borderId="13" xfId="0" applyNumberFormat="1" applyFont="1" applyFill="1" applyBorder="1" applyAlignment="1">
      <alignment horizontal="left" vertical="top"/>
    </xf>
    <xf numFmtId="49" fontId="5" fillId="34" borderId="16" xfId="0" applyNumberFormat="1" applyFont="1" applyFill="1" applyBorder="1" applyAlignment="1">
      <alignment horizontal="left" vertical="center"/>
    </xf>
    <xf numFmtId="49" fontId="5" fillId="34" borderId="17" xfId="0" applyNumberFormat="1" applyFont="1" applyFill="1" applyBorder="1" applyAlignment="1">
      <alignment horizontal="left" vertical="center"/>
    </xf>
    <xf numFmtId="0" fontId="5" fillId="34" borderId="18" xfId="0" applyFont="1" applyFill="1" applyBorder="1">
      <alignment vertical="center"/>
    </xf>
    <xf numFmtId="0" fontId="5" fillId="28" borderId="18" xfId="0" applyFont="1" applyFill="1" applyBorder="1" applyAlignment="1">
      <alignment vertical="center" wrapText="1"/>
    </xf>
    <xf numFmtId="0" fontId="5" fillId="34" borderId="0" xfId="0" applyFont="1" applyFill="1">
      <alignment vertical="center"/>
    </xf>
    <xf numFmtId="0" fontId="5" fillId="28" borderId="16" xfId="0" applyFont="1" applyFill="1" applyBorder="1" applyAlignment="1">
      <alignment vertical="center" wrapText="1"/>
    </xf>
    <xf numFmtId="0" fontId="5" fillId="34" borderId="11" xfId="0" applyFont="1" applyFill="1" applyBorder="1" applyAlignment="1">
      <alignment vertical="center" wrapText="1"/>
    </xf>
    <xf numFmtId="0" fontId="5" fillId="34" borderId="11" xfId="0" applyFont="1" applyFill="1" applyBorder="1">
      <alignment vertical="center"/>
    </xf>
    <xf numFmtId="0" fontId="5" fillId="34" borderId="13" xfId="0" applyFont="1" applyFill="1" applyBorder="1">
      <alignment vertical="center"/>
    </xf>
    <xf numFmtId="0" fontId="5" fillId="34" borderId="14" xfId="0" applyFont="1" applyFill="1" applyBorder="1">
      <alignment vertical="center"/>
    </xf>
    <xf numFmtId="0" fontId="5" fillId="35" borderId="11" xfId="0" applyFont="1" applyFill="1" applyBorder="1" applyAlignment="1">
      <alignment vertical="center" wrapText="1"/>
    </xf>
    <xf numFmtId="0" fontId="5" fillId="35" borderId="18" xfId="0" applyFont="1" applyFill="1" applyBorder="1" applyAlignment="1">
      <alignment vertical="center" wrapText="1"/>
    </xf>
    <xf numFmtId="0" fontId="5" fillId="35" borderId="19" xfId="0" applyFont="1" applyFill="1" applyBorder="1" applyAlignment="1">
      <alignment vertical="center" wrapText="1"/>
    </xf>
    <xf numFmtId="0" fontId="5" fillId="35" borderId="20" xfId="0" applyFont="1" applyFill="1" applyBorder="1" applyAlignment="1">
      <alignment vertical="center" wrapText="1"/>
    </xf>
    <xf numFmtId="0" fontId="5" fillId="0" borderId="0" xfId="0" applyFont="1" applyAlignment="1">
      <alignment horizontal="left" vertical="center" wrapText="1"/>
    </xf>
    <xf numFmtId="0" fontId="5" fillId="34" borderId="21" xfId="0" applyFont="1" applyFill="1" applyBorder="1" applyAlignment="1">
      <alignment vertical="center" wrapText="1"/>
    </xf>
    <xf numFmtId="0" fontId="5" fillId="35" borderId="17" xfId="0" applyFont="1" applyFill="1" applyBorder="1" applyAlignment="1">
      <alignment vertical="center" wrapText="1"/>
    </xf>
    <xf numFmtId="0" fontId="5" fillId="28" borderId="0" xfId="0" applyFont="1" applyFill="1">
      <alignment vertical="center"/>
    </xf>
    <xf numFmtId="0" fontId="5" fillId="35" borderId="13" xfId="0" applyFont="1" applyFill="1" applyBorder="1">
      <alignment vertical="center"/>
    </xf>
    <xf numFmtId="0" fontId="5" fillId="35" borderId="14" xfId="0" applyFont="1" applyFill="1" applyBorder="1">
      <alignment vertical="center"/>
    </xf>
    <xf numFmtId="0" fontId="5" fillId="34" borderId="22" xfId="0" applyFont="1" applyFill="1" applyBorder="1">
      <alignment vertical="center"/>
    </xf>
    <xf numFmtId="0" fontId="5" fillId="35" borderId="16" xfId="0" applyFont="1" applyFill="1" applyBorder="1" applyAlignment="1">
      <alignment horizontal="left" vertical="center"/>
    </xf>
    <xf numFmtId="0" fontId="7" fillId="36" borderId="0" xfId="0" applyFont="1" applyFill="1" applyAlignment="1">
      <alignment horizontal="left" vertical="center"/>
    </xf>
    <xf numFmtId="0" fontId="5" fillId="34" borderId="15" xfId="0" applyFont="1" applyFill="1" applyBorder="1">
      <alignment vertical="center"/>
    </xf>
    <xf numFmtId="0" fontId="5" fillId="28" borderId="23" xfId="0" applyFont="1" applyFill="1" applyBorder="1" applyAlignment="1">
      <alignment vertical="center" wrapText="1"/>
    </xf>
    <xf numFmtId="0" fontId="5" fillId="28" borderId="24" xfId="0" applyFont="1" applyFill="1" applyBorder="1" applyAlignment="1">
      <alignment vertical="center" wrapText="1"/>
    </xf>
    <xf numFmtId="0" fontId="5" fillId="28" borderId="17" xfId="0" applyFont="1" applyFill="1" applyBorder="1" applyAlignment="1">
      <alignment vertical="center" wrapText="1"/>
    </xf>
    <xf numFmtId="0" fontId="5" fillId="28" borderId="25" xfId="0" applyFont="1" applyFill="1" applyBorder="1" applyAlignment="1">
      <alignment vertical="center" wrapText="1"/>
    </xf>
    <xf numFmtId="0" fontId="5" fillId="28" borderId="26" xfId="0" applyFont="1" applyFill="1" applyBorder="1" applyAlignment="1">
      <alignment vertical="center" wrapText="1"/>
    </xf>
    <xf numFmtId="0" fontId="5" fillId="28" borderId="27" xfId="0" applyFont="1" applyFill="1" applyBorder="1" applyAlignment="1">
      <alignment vertical="center" wrapText="1"/>
    </xf>
    <xf numFmtId="49" fontId="5" fillId="34" borderId="26" xfId="0" applyNumberFormat="1" applyFont="1" applyFill="1" applyBorder="1">
      <alignment vertical="center"/>
    </xf>
    <xf numFmtId="0" fontId="5" fillId="34" borderId="26" xfId="0" applyFont="1" applyFill="1" applyBorder="1">
      <alignment vertical="center"/>
    </xf>
    <xf numFmtId="0" fontId="5" fillId="34" borderId="27" xfId="0" applyFont="1" applyFill="1" applyBorder="1">
      <alignment vertical="center"/>
    </xf>
    <xf numFmtId="0" fontId="5" fillId="35" borderId="26" xfId="0" applyFont="1" applyFill="1" applyBorder="1" applyAlignment="1">
      <alignment vertical="center" wrapText="1"/>
    </xf>
    <xf numFmtId="0" fontId="5" fillId="34" borderId="26" xfId="0" applyFont="1" applyFill="1" applyBorder="1" applyAlignment="1">
      <alignment vertical="center" wrapText="1"/>
    </xf>
    <xf numFmtId="49" fontId="5" fillId="34" borderId="26" xfId="0" applyNumberFormat="1" applyFont="1" applyFill="1" applyBorder="1" applyAlignment="1">
      <alignment horizontal="left" vertical="top"/>
    </xf>
    <xf numFmtId="49" fontId="5" fillId="34" borderId="26" xfId="0" applyNumberFormat="1" applyFont="1" applyFill="1" applyBorder="1" applyAlignment="1">
      <alignment horizontal="left" vertical="center"/>
    </xf>
    <xf numFmtId="0" fontId="45" fillId="34" borderId="27" xfId="0" applyFont="1" applyFill="1" applyBorder="1">
      <alignment vertical="center"/>
    </xf>
    <xf numFmtId="0" fontId="5" fillId="34" borderId="28" xfId="0" applyFont="1" applyFill="1" applyBorder="1">
      <alignment vertical="center"/>
    </xf>
    <xf numFmtId="0" fontId="5" fillId="28" borderId="26" xfId="0" applyFont="1" applyFill="1" applyBorder="1" applyAlignment="1">
      <alignment vertical="center" shrinkToFit="1"/>
    </xf>
    <xf numFmtId="0" fontId="5" fillId="34" borderId="13" xfId="0" applyFont="1" applyFill="1" applyBorder="1" applyAlignment="1">
      <alignment vertical="center" wrapText="1"/>
    </xf>
    <xf numFmtId="0" fontId="5" fillId="34" borderId="14" xfId="0" applyFont="1" applyFill="1" applyBorder="1" applyAlignment="1">
      <alignment vertical="center" wrapText="1"/>
    </xf>
    <xf numFmtId="0" fontId="5" fillId="34" borderId="27" xfId="0" applyFont="1" applyFill="1" applyBorder="1" applyAlignment="1">
      <alignment vertical="center" wrapText="1"/>
    </xf>
    <xf numFmtId="0" fontId="5" fillId="28" borderId="29" xfId="0" applyFont="1" applyFill="1" applyBorder="1" applyAlignment="1">
      <alignment vertical="center" wrapText="1"/>
    </xf>
    <xf numFmtId="0" fontId="5" fillId="28" borderId="11" xfId="0" applyFont="1" applyFill="1" applyBorder="1">
      <alignment vertical="center"/>
    </xf>
    <xf numFmtId="0" fontId="5" fillId="34" borderId="23" xfId="0" applyFont="1" applyFill="1" applyBorder="1">
      <alignment vertical="center"/>
    </xf>
    <xf numFmtId="49" fontId="5" fillId="28" borderId="13" xfId="0" applyNumberFormat="1" applyFont="1" applyFill="1" applyBorder="1">
      <alignment vertical="center"/>
    </xf>
    <xf numFmtId="49" fontId="5" fillId="28" borderId="13" xfId="0" applyNumberFormat="1" applyFont="1" applyFill="1" applyBorder="1" applyAlignment="1">
      <alignment vertical="center" shrinkToFit="1"/>
    </xf>
    <xf numFmtId="49" fontId="5" fillId="28" borderId="14" xfId="0" applyNumberFormat="1" applyFont="1" applyFill="1" applyBorder="1" applyAlignment="1">
      <alignment vertical="center" shrinkToFit="1"/>
    </xf>
    <xf numFmtId="49" fontId="5" fillId="28" borderId="16" xfId="0" applyNumberFormat="1" applyFont="1" applyFill="1" applyBorder="1">
      <alignment vertical="center"/>
    </xf>
    <xf numFmtId="49" fontId="5" fillId="28" borderId="25" xfId="0" applyNumberFormat="1" applyFont="1" applyFill="1" applyBorder="1" applyAlignment="1">
      <alignment vertical="center" shrinkToFit="1"/>
    </xf>
    <xf numFmtId="49" fontId="5" fillId="28" borderId="29" xfId="0" applyNumberFormat="1" applyFont="1" applyFill="1" applyBorder="1" applyAlignment="1">
      <alignment vertical="center" shrinkToFit="1"/>
    </xf>
    <xf numFmtId="49" fontId="5" fillId="28" borderId="30" xfId="0" applyNumberFormat="1" applyFont="1" applyFill="1" applyBorder="1" applyAlignment="1">
      <alignment vertical="center" shrinkToFit="1"/>
    </xf>
    <xf numFmtId="0" fontId="5" fillId="28" borderId="22" xfId="0" applyFont="1" applyFill="1" applyBorder="1" applyAlignment="1">
      <alignment vertical="center" shrinkToFit="1"/>
    </xf>
    <xf numFmtId="0" fontId="5" fillId="34" borderId="11" xfId="0" applyFont="1" applyFill="1" applyBorder="1" applyAlignment="1">
      <alignment vertical="center" shrinkToFit="1"/>
    </xf>
    <xf numFmtId="176" fontId="5" fillId="0" borderId="0" xfId="0" applyNumberFormat="1" applyFont="1" applyAlignment="1">
      <alignment horizontal="left" vertical="center"/>
    </xf>
    <xf numFmtId="0" fontId="19" fillId="34" borderId="24" xfId="1" applyFont="1" applyFill="1" applyBorder="1" applyProtection="1">
      <alignment vertical="center"/>
      <protection locked="0"/>
    </xf>
    <xf numFmtId="0" fontId="19" fillId="34" borderId="0" xfId="1" applyFont="1" applyFill="1" applyProtection="1">
      <alignment vertical="center"/>
      <protection locked="0"/>
    </xf>
    <xf numFmtId="0" fontId="19" fillId="34" borderId="13" xfId="1" applyFont="1" applyFill="1" applyBorder="1" applyProtection="1">
      <alignment vertical="center"/>
      <protection locked="0"/>
    </xf>
    <xf numFmtId="0" fontId="5" fillId="34" borderId="31" xfId="0" applyFont="1" applyFill="1" applyBorder="1">
      <alignment vertical="center"/>
    </xf>
    <xf numFmtId="49" fontId="5" fillId="0" borderId="0" xfId="0" applyNumberFormat="1" applyFont="1">
      <alignment vertical="center"/>
    </xf>
    <xf numFmtId="0" fontId="5" fillId="34" borderId="32" xfId="0" applyFont="1" applyFill="1" applyBorder="1">
      <alignment vertical="center"/>
    </xf>
    <xf numFmtId="177" fontId="5" fillId="0" borderId="0" xfId="0" applyNumberFormat="1" applyFont="1">
      <alignment vertical="center"/>
    </xf>
    <xf numFmtId="177" fontId="5" fillId="0" borderId="0" xfId="0" applyNumberFormat="1" applyFont="1" applyAlignment="1">
      <alignment horizontal="left" vertical="center"/>
    </xf>
    <xf numFmtId="0" fontId="5" fillId="34" borderId="24" xfId="0" applyFont="1" applyFill="1" applyBorder="1">
      <alignment vertical="center"/>
    </xf>
    <xf numFmtId="0" fontId="5" fillId="34" borderId="17" xfId="0" applyFont="1" applyFill="1" applyBorder="1">
      <alignment vertical="center"/>
    </xf>
    <xf numFmtId="0" fontId="5" fillId="35" borderId="13" xfId="0" applyFont="1" applyFill="1" applyBorder="1" applyAlignment="1">
      <alignment vertical="center" wrapText="1"/>
    </xf>
    <xf numFmtId="0" fontId="5" fillId="35" borderId="26" xfId="0" applyFont="1" applyFill="1" applyBorder="1">
      <alignment vertical="center"/>
    </xf>
    <xf numFmtId="0" fontId="5" fillId="35" borderId="27" xfId="0" applyFont="1" applyFill="1" applyBorder="1" applyAlignment="1">
      <alignment vertical="center" wrapText="1"/>
    </xf>
    <xf numFmtId="0" fontId="5" fillId="34" borderId="26" xfId="0" applyFont="1" applyFill="1" applyBorder="1" applyAlignment="1">
      <alignment horizontal="left" vertical="center"/>
    </xf>
    <xf numFmtId="0" fontId="5" fillId="35" borderId="0" xfId="0" applyFont="1" applyFill="1">
      <alignment vertical="center"/>
    </xf>
    <xf numFmtId="0" fontId="5" fillId="35" borderId="14" xfId="0" applyFont="1" applyFill="1" applyBorder="1" applyAlignment="1">
      <alignment vertical="center" wrapText="1"/>
    </xf>
    <xf numFmtId="0" fontId="5" fillId="28" borderId="22" xfId="0" applyFont="1" applyFill="1" applyBorder="1" applyAlignment="1">
      <alignment vertical="center" wrapText="1"/>
    </xf>
    <xf numFmtId="0" fontId="5" fillId="0" borderId="0" xfId="0" applyFont="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lignment vertical="center"/>
    </xf>
    <xf numFmtId="0" fontId="5" fillId="37" borderId="36" xfId="0" applyFont="1" applyFill="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xf>
    <xf numFmtId="0" fontId="5" fillId="0" borderId="35" xfId="0" applyFont="1" applyBorder="1" applyAlignment="1">
      <alignment horizontal="lef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21" xfId="0" applyFont="1" applyBorder="1" applyAlignment="1">
      <alignment vertical="center" wrapText="1"/>
    </xf>
    <xf numFmtId="0" fontId="5" fillId="0" borderId="32" xfId="0" applyFont="1" applyBorder="1" applyAlignment="1">
      <alignment vertical="center" wrapText="1"/>
    </xf>
    <xf numFmtId="0" fontId="5" fillId="34" borderId="26" xfId="0" applyFont="1" applyFill="1" applyBorder="1" applyAlignment="1">
      <alignment horizontal="left" vertical="center" wrapText="1"/>
    </xf>
    <xf numFmtId="0" fontId="5" fillId="31" borderId="26"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28" borderId="15" xfId="0" applyFont="1" applyFill="1" applyBorder="1" applyAlignment="1">
      <alignment vertical="center" shrinkToFit="1"/>
    </xf>
    <xf numFmtId="0" fontId="5" fillId="28" borderId="17" xfId="0" applyFont="1" applyFill="1" applyBorder="1" applyAlignment="1">
      <alignment vertical="center" shrinkToFit="1"/>
    </xf>
    <xf numFmtId="0" fontId="5" fillId="28" borderId="18" xfId="0" applyFont="1" applyFill="1" applyBorder="1" applyAlignment="1">
      <alignment vertical="center" shrinkToFit="1"/>
    </xf>
    <xf numFmtId="49" fontId="5" fillId="28" borderId="25" xfId="0" applyNumberFormat="1" applyFont="1" applyFill="1" applyBorder="1">
      <alignment vertical="center"/>
    </xf>
    <xf numFmtId="0" fontId="5" fillId="34" borderId="18" xfId="0" applyFont="1" applyFill="1" applyBorder="1" applyAlignment="1">
      <alignment vertical="center" wrapText="1"/>
    </xf>
    <xf numFmtId="49" fontId="5" fillId="34" borderId="18" xfId="0" applyNumberFormat="1" applyFont="1" applyFill="1" applyBorder="1" applyAlignment="1">
      <alignment vertical="center" wrapText="1"/>
    </xf>
    <xf numFmtId="0" fontId="5" fillId="34" borderId="20" xfId="0" applyFont="1" applyFill="1" applyBorder="1" applyAlignment="1">
      <alignment vertical="center" wrapText="1"/>
    </xf>
    <xf numFmtId="0" fontId="5" fillId="34" borderId="0" xfId="0" applyFont="1" applyFill="1" applyAlignment="1">
      <alignment horizontal="left" vertical="center"/>
    </xf>
    <xf numFmtId="0" fontId="27" fillId="0" borderId="0" xfId="0" applyFont="1">
      <alignment vertical="center"/>
    </xf>
    <xf numFmtId="49" fontId="5" fillId="37" borderId="11" xfId="0" applyNumberFormat="1" applyFont="1" applyFill="1" applyBorder="1" applyAlignment="1">
      <alignment horizontal="left" vertical="center"/>
    </xf>
    <xf numFmtId="49" fontId="5" fillId="37" borderId="13" xfId="0" applyNumberFormat="1" applyFont="1" applyFill="1" applyBorder="1" applyAlignment="1">
      <alignment horizontal="left" vertical="center"/>
    </xf>
    <xf numFmtId="49" fontId="5" fillId="37" borderId="14" xfId="0" applyNumberFormat="1" applyFont="1" applyFill="1" applyBorder="1" applyAlignment="1">
      <alignment horizontal="left" vertical="center"/>
    </xf>
    <xf numFmtId="0" fontId="5" fillId="37" borderId="26" xfId="0" applyFont="1" applyFill="1" applyBorder="1">
      <alignment vertical="center"/>
    </xf>
    <xf numFmtId="0" fontId="5" fillId="37" borderId="27" xfId="0" applyFont="1" applyFill="1" applyBorder="1">
      <alignment vertical="center"/>
    </xf>
    <xf numFmtId="0" fontId="5" fillId="38" borderId="23" xfId="0" applyFont="1" applyFill="1" applyBorder="1">
      <alignment vertical="center"/>
    </xf>
    <xf numFmtId="0" fontId="5" fillId="38" borderId="24" xfId="0" applyFont="1" applyFill="1" applyBorder="1">
      <alignment vertical="center"/>
    </xf>
    <xf numFmtId="49" fontId="5" fillId="37" borderId="16" xfId="0" applyNumberFormat="1" applyFont="1" applyFill="1" applyBorder="1" applyAlignment="1">
      <alignment vertical="center" wrapText="1"/>
    </xf>
    <xf numFmtId="49" fontId="5" fillId="37" borderId="17" xfId="0" applyNumberFormat="1" applyFont="1" applyFill="1" applyBorder="1" applyAlignment="1">
      <alignment vertical="center" wrapText="1"/>
    </xf>
    <xf numFmtId="49" fontId="5" fillId="37" borderId="25" xfId="0" applyNumberFormat="1" applyFont="1" applyFill="1" applyBorder="1" applyAlignment="1">
      <alignment vertical="center" wrapText="1"/>
    </xf>
    <xf numFmtId="49" fontId="5" fillId="37" borderId="41" xfId="0" applyNumberFormat="1" applyFont="1" applyFill="1" applyBorder="1" applyAlignment="1">
      <alignment vertical="center" wrapText="1"/>
    </xf>
    <xf numFmtId="0" fontId="5" fillId="37" borderId="16" xfId="0" applyFont="1" applyFill="1" applyBorder="1" applyAlignment="1">
      <alignment vertical="center" wrapText="1"/>
    </xf>
    <xf numFmtId="0" fontId="5" fillId="37" borderId="17" xfId="0" applyFont="1" applyFill="1" applyBorder="1" applyAlignment="1">
      <alignment vertical="center" wrapText="1"/>
    </xf>
    <xf numFmtId="0" fontId="5" fillId="37" borderId="25" xfId="0" applyFont="1" applyFill="1" applyBorder="1" applyAlignment="1">
      <alignment vertical="center" wrapText="1"/>
    </xf>
    <xf numFmtId="0" fontId="5" fillId="37" borderId="41" xfId="0" applyFont="1" applyFill="1" applyBorder="1" applyAlignment="1">
      <alignment vertical="center" wrapText="1"/>
    </xf>
    <xf numFmtId="49" fontId="5" fillId="37" borderId="13" xfId="0" applyNumberFormat="1" applyFont="1" applyFill="1" applyBorder="1">
      <alignment vertical="center"/>
    </xf>
    <xf numFmtId="49" fontId="5" fillId="37" borderId="15" xfId="0" applyNumberFormat="1" applyFont="1" applyFill="1" applyBorder="1" applyAlignment="1">
      <alignment vertical="center" wrapText="1"/>
    </xf>
    <xf numFmtId="0" fontId="5" fillId="37" borderId="13" xfId="0" applyFont="1" applyFill="1" applyBorder="1" applyAlignment="1">
      <alignment vertical="center" wrapText="1"/>
    </xf>
    <xf numFmtId="0" fontId="5" fillId="37" borderId="26" xfId="0" applyFont="1" applyFill="1" applyBorder="1" applyAlignment="1">
      <alignment horizontal="left" vertical="center" wrapText="1"/>
    </xf>
    <xf numFmtId="0" fontId="5" fillId="37" borderId="14" xfId="0" applyFont="1" applyFill="1" applyBorder="1" applyAlignment="1">
      <alignment vertical="center" wrapText="1"/>
    </xf>
    <xf numFmtId="0" fontId="5" fillId="37" borderId="27" xfId="0" applyFont="1" applyFill="1" applyBorder="1" applyAlignment="1">
      <alignment horizontal="right" vertical="center" wrapText="1"/>
    </xf>
    <xf numFmtId="0" fontId="5" fillId="34" borderId="21" xfId="0" applyFont="1" applyFill="1" applyBorder="1">
      <alignment vertical="center"/>
    </xf>
    <xf numFmtId="0" fontId="5" fillId="34" borderId="16" xfId="0" applyFont="1" applyFill="1" applyBorder="1">
      <alignment vertical="center"/>
    </xf>
    <xf numFmtId="0" fontId="5" fillId="34" borderId="25" xfId="0" applyFont="1" applyFill="1" applyBorder="1">
      <alignment vertical="center"/>
    </xf>
    <xf numFmtId="49" fontId="5" fillId="34" borderId="11" xfId="0" applyNumberFormat="1" applyFont="1" applyFill="1" applyBorder="1" applyAlignment="1">
      <alignment horizontal="left" vertical="center"/>
    </xf>
    <xf numFmtId="0" fontId="5" fillId="34" borderId="14" xfId="0" applyFont="1" applyFill="1" applyBorder="1" applyAlignment="1">
      <alignment horizontal="left" vertical="center"/>
    </xf>
    <xf numFmtId="49" fontId="5" fillId="34" borderId="23" xfId="0" applyNumberFormat="1" applyFont="1" applyFill="1" applyBorder="1">
      <alignment vertical="center"/>
    </xf>
    <xf numFmtId="0" fontId="5" fillId="37" borderId="18" xfId="0" applyFont="1" applyFill="1" applyBorder="1">
      <alignment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36" xfId="0" applyFont="1" applyBorder="1" applyAlignment="1">
      <alignment horizontal="center" vertical="center"/>
    </xf>
    <xf numFmtId="0" fontId="5" fillId="0" borderId="22" xfId="0" applyFont="1" applyBorder="1">
      <alignment vertical="center"/>
    </xf>
    <xf numFmtId="0" fontId="5" fillId="0" borderId="14" xfId="0" applyFont="1" applyBorder="1">
      <alignment vertical="center"/>
    </xf>
    <xf numFmtId="185" fontId="5" fillId="0" borderId="0" xfId="0" applyNumberFormat="1" applyFont="1">
      <alignment vertical="center"/>
    </xf>
    <xf numFmtId="0" fontId="5" fillId="34" borderId="45" xfId="0" applyFont="1" applyFill="1" applyBorder="1">
      <alignment vertical="center"/>
    </xf>
    <xf numFmtId="49" fontId="5" fillId="34" borderId="16" xfId="0" applyNumberFormat="1" applyFont="1" applyFill="1" applyBorder="1">
      <alignment vertical="center"/>
    </xf>
    <xf numFmtId="49" fontId="5" fillId="34" borderId="13" xfId="0" applyNumberFormat="1" applyFont="1" applyFill="1" applyBorder="1">
      <alignment vertical="center"/>
    </xf>
    <xf numFmtId="49" fontId="5" fillId="34" borderId="25" xfId="0" applyNumberFormat="1" applyFont="1" applyFill="1" applyBorder="1">
      <alignment vertical="center"/>
    </xf>
    <xf numFmtId="49" fontId="5" fillId="34" borderId="14" xfId="0" applyNumberFormat="1" applyFont="1" applyFill="1" applyBorder="1">
      <alignment vertical="center"/>
    </xf>
    <xf numFmtId="0" fontId="7" fillId="34" borderId="0" xfId="0" applyFont="1" applyFill="1">
      <alignment vertical="center"/>
    </xf>
    <xf numFmtId="0" fontId="9" fillId="0" borderId="46" xfId="0" applyFont="1" applyBorder="1">
      <alignment vertical="center"/>
    </xf>
    <xf numFmtId="0" fontId="0" fillId="0" borderId="46" xfId="0" applyBorder="1">
      <alignment vertical="center"/>
    </xf>
    <xf numFmtId="0" fontId="9" fillId="0" borderId="46" xfId="0" applyFont="1" applyBorder="1" applyAlignment="1">
      <alignment horizontal="right" vertical="center"/>
    </xf>
    <xf numFmtId="0" fontId="9" fillId="0" borderId="47" xfId="0" applyFont="1" applyBorder="1">
      <alignment vertical="center"/>
    </xf>
    <xf numFmtId="0" fontId="9" fillId="0" borderId="48" xfId="0" applyFont="1" applyBorder="1">
      <alignment vertical="center"/>
    </xf>
    <xf numFmtId="0" fontId="9" fillId="0" borderId="15" xfId="0" applyFont="1" applyBorder="1">
      <alignment vertical="center"/>
    </xf>
    <xf numFmtId="0" fontId="9" fillId="0" borderId="22" xfId="0" applyFont="1" applyBorder="1">
      <alignment vertical="center"/>
    </xf>
    <xf numFmtId="0" fontId="8" fillId="0" borderId="15" xfId="0" applyFont="1" applyBorder="1">
      <alignment vertical="center"/>
    </xf>
    <xf numFmtId="0" fontId="11" fillId="0" borderId="0" xfId="0" applyFont="1">
      <alignment vertical="center"/>
    </xf>
    <xf numFmtId="0" fontId="8" fillId="0" borderId="46" xfId="0" applyFont="1" applyBorder="1">
      <alignment vertical="center"/>
    </xf>
    <xf numFmtId="0" fontId="8" fillId="0" borderId="22" xfId="0" applyFont="1" applyBorder="1">
      <alignment vertical="center"/>
    </xf>
    <xf numFmtId="186" fontId="5" fillId="0" borderId="0" xfId="0" applyNumberFormat="1" applyFont="1" applyAlignment="1">
      <alignment horizontal="center" vertical="center"/>
    </xf>
    <xf numFmtId="178" fontId="5" fillId="0" borderId="0" xfId="0" applyNumberFormat="1" applyFont="1" applyAlignment="1">
      <alignment horizontal="left" vertical="center"/>
    </xf>
    <xf numFmtId="49" fontId="5" fillId="35" borderId="13" xfId="0" applyNumberFormat="1" applyFont="1" applyFill="1" applyBorder="1">
      <alignment vertical="center"/>
    </xf>
    <xf numFmtId="49" fontId="5" fillId="35" borderId="13" xfId="0" applyNumberFormat="1" applyFont="1" applyFill="1" applyBorder="1" applyAlignment="1">
      <alignment vertical="center" wrapText="1"/>
    </xf>
    <xf numFmtId="0" fontId="5" fillId="0" borderId="0" xfId="1" applyFont="1" applyProtection="1">
      <alignment vertical="center"/>
      <protection locked="0"/>
    </xf>
    <xf numFmtId="49" fontId="5" fillId="0" borderId="0" xfId="1" applyNumberFormat="1" applyFont="1" applyProtection="1">
      <alignment vertical="center"/>
      <protection locked="0"/>
    </xf>
    <xf numFmtId="0" fontId="45" fillId="34" borderId="14" xfId="0" applyFont="1" applyFill="1" applyBorder="1">
      <alignment vertical="center"/>
    </xf>
    <xf numFmtId="0" fontId="5" fillId="38" borderId="13" xfId="0" applyFont="1" applyFill="1" applyBorder="1" applyAlignment="1">
      <alignment vertical="center" wrapText="1"/>
    </xf>
    <xf numFmtId="0" fontId="5" fillId="38" borderId="15" xfId="0" applyFont="1" applyFill="1" applyBorder="1" applyAlignment="1">
      <alignment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0" fillId="0" borderId="0" xfId="0" applyAlignment="1">
      <alignment horizontal="left" vertical="center"/>
    </xf>
    <xf numFmtId="0" fontId="5" fillId="34" borderId="15" xfId="0" applyFont="1" applyFill="1" applyBorder="1" applyAlignment="1">
      <alignment horizontal="left" vertical="center" wrapText="1"/>
    </xf>
    <xf numFmtId="176" fontId="0" fillId="0" borderId="0" xfId="0" applyNumberFormat="1" applyAlignment="1">
      <alignment horizontal="left" vertical="center"/>
    </xf>
    <xf numFmtId="0" fontId="5" fillId="37" borderId="49" xfId="0" applyFont="1" applyFill="1" applyBorder="1" applyAlignment="1">
      <alignment vertical="center" wrapText="1"/>
    </xf>
    <xf numFmtId="0" fontId="5" fillId="37" borderId="12" xfId="0" applyFont="1" applyFill="1" applyBorder="1" applyAlignment="1">
      <alignment vertical="center" wrapText="1"/>
    </xf>
    <xf numFmtId="0" fontId="5" fillId="34" borderId="12" xfId="0" applyFont="1" applyFill="1" applyBorder="1">
      <alignment vertical="center"/>
    </xf>
    <xf numFmtId="0" fontId="5" fillId="34" borderId="49" xfId="0" applyFont="1" applyFill="1" applyBorder="1" applyAlignment="1">
      <alignment vertical="center" wrapText="1"/>
    </xf>
    <xf numFmtId="0" fontId="5" fillId="37" borderId="12" xfId="0" applyFont="1" applyFill="1" applyBorder="1">
      <alignment vertical="center"/>
    </xf>
    <xf numFmtId="0" fontId="5" fillId="37" borderId="32" xfId="0" applyFont="1" applyFill="1" applyBorder="1" applyAlignment="1">
      <alignment vertical="center" wrapText="1"/>
    </xf>
    <xf numFmtId="0" fontId="5" fillId="34" borderId="50" xfId="0" applyFont="1" applyFill="1" applyBorder="1" applyAlignment="1">
      <alignment horizontal="left" vertical="center" wrapText="1"/>
    </xf>
    <xf numFmtId="0" fontId="5" fillId="37" borderId="13" xfId="0" applyFont="1" applyFill="1" applyBorder="1">
      <alignment vertical="center"/>
    </xf>
    <xf numFmtId="0" fontId="5" fillId="37" borderId="15" xfId="0" applyFont="1" applyFill="1" applyBorder="1" applyAlignment="1">
      <alignment vertical="center" wrapText="1"/>
    </xf>
    <xf numFmtId="0" fontId="5" fillId="37" borderId="18" xfId="0" applyFont="1" applyFill="1" applyBorder="1" applyAlignment="1">
      <alignment horizontal="left" vertical="center" wrapText="1"/>
    </xf>
    <xf numFmtId="182" fontId="5" fillId="34" borderId="0" xfId="0" applyNumberFormat="1" applyFont="1" applyFill="1" applyAlignment="1">
      <alignment horizontal="left" vertical="center"/>
    </xf>
    <xf numFmtId="49" fontId="5" fillId="34" borderId="0" xfId="0" applyNumberFormat="1" applyFont="1" applyFill="1" applyAlignment="1">
      <alignment horizontal="left" vertical="center"/>
    </xf>
    <xf numFmtId="49" fontId="5" fillId="34" borderId="0" xfId="0" applyNumberFormat="1" applyFont="1" applyFill="1">
      <alignment vertical="center"/>
    </xf>
    <xf numFmtId="176" fontId="5" fillId="34" borderId="0" xfId="0" applyNumberFormat="1" applyFont="1" applyFill="1" applyAlignment="1">
      <alignment horizontal="left" vertical="center"/>
    </xf>
    <xf numFmtId="0" fontId="5" fillId="37" borderId="0" xfId="0" applyFont="1" applyFill="1" applyAlignment="1">
      <alignment horizontal="left" vertical="center"/>
    </xf>
    <xf numFmtId="0" fontId="0" fillId="37" borderId="0" xfId="0" applyFill="1" applyAlignment="1">
      <alignment horizontal="left" vertical="center"/>
    </xf>
    <xf numFmtId="182" fontId="5" fillId="37" borderId="0" xfId="0" applyNumberFormat="1" applyFont="1" applyFill="1" applyAlignment="1">
      <alignment horizontal="left" vertical="center"/>
    </xf>
    <xf numFmtId="0" fontId="5" fillId="35" borderId="0" xfId="0" applyFont="1" applyFill="1" applyAlignment="1">
      <alignment horizontal="left" vertical="center"/>
    </xf>
    <xf numFmtId="0" fontId="5" fillId="34" borderId="0" xfId="0" applyFont="1" applyFill="1" applyAlignment="1">
      <alignment horizontal="left" vertical="center" wrapText="1"/>
    </xf>
    <xf numFmtId="49" fontId="5" fillId="35" borderId="0" xfId="0" applyNumberFormat="1" applyFont="1" applyFill="1" applyAlignment="1">
      <alignment horizontal="left" vertical="center"/>
    </xf>
    <xf numFmtId="49" fontId="5" fillId="34" borderId="0" xfId="1" applyNumberFormat="1" applyFont="1" applyFill="1" applyProtection="1">
      <alignment vertical="center"/>
      <protection locked="0"/>
    </xf>
    <xf numFmtId="49" fontId="19" fillId="34" borderId="0" xfId="1" applyNumberFormat="1" applyFont="1" applyFill="1" applyProtection="1">
      <alignment vertical="center"/>
      <protection locked="0"/>
    </xf>
    <xf numFmtId="0" fontId="45" fillId="34" borderId="0" xfId="0" applyFont="1" applyFill="1">
      <alignment vertical="center"/>
    </xf>
    <xf numFmtId="0" fontId="5" fillId="34" borderId="0" xfId="1" applyFont="1" applyFill="1" applyProtection="1">
      <alignment vertical="center"/>
      <protection locked="0"/>
    </xf>
    <xf numFmtId="49" fontId="5" fillId="34" borderId="0" xfId="0" applyNumberFormat="1" applyFont="1" applyFill="1" applyAlignment="1">
      <alignment horizontal="left" vertical="top"/>
    </xf>
    <xf numFmtId="0" fontId="5" fillId="34" borderId="0" xfId="0" applyFont="1" applyFill="1" applyAlignment="1">
      <alignment horizontal="left" vertical="top"/>
    </xf>
    <xf numFmtId="178" fontId="5" fillId="35" borderId="0" xfId="0" applyNumberFormat="1" applyFont="1" applyFill="1" applyAlignment="1">
      <alignment horizontal="left" vertical="center"/>
    </xf>
    <xf numFmtId="180" fontId="5" fillId="35" borderId="0" xfId="0" applyNumberFormat="1" applyFont="1" applyFill="1" applyAlignment="1">
      <alignment horizontal="left" vertical="center"/>
    </xf>
    <xf numFmtId="178" fontId="5" fillId="34" borderId="0" xfId="0" applyNumberFormat="1" applyFont="1" applyFill="1" applyAlignment="1">
      <alignment horizontal="left" vertical="center"/>
    </xf>
    <xf numFmtId="177" fontId="5" fillId="34" borderId="0" xfId="0" applyNumberFormat="1" applyFont="1" applyFill="1" applyAlignment="1">
      <alignment horizontal="left" vertical="center"/>
    </xf>
    <xf numFmtId="183" fontId="5" fillId="34" borderId="0" xfId="0" applyNumberFormat="1" applyFont="1" applyFill="1" applyAlignment="1">
      <alignment horizontal="left" vertical="center"/>
    </xf>
    <xf numFmtId="187" fontId="5" fillId="34" borderId="0" xfId="0" applyNumberFormat="1" applyFont="1" applyFill="1" applyAlignment="1">
      <alignment horizontal="left" vertical="center"/>
    </xf>
    <xf numFmtId="185" fontId="5" fillId="34" borderId="0" xfId="0" applyNumberFormat="1" applyFont="1" applyFill="1">
      <alignment vertical="center"/>
    </xf>
    <xf numFmtId="177" fontId="5" fillId="34" borderId="0" xfId="0" applyNumberFormat="1" applyFont="1" applyFill="1">
      <alignment vertical="center"/>
    </xf>
    <xf numFmtId="187" fontId="5" fillId="34" borderId="0" xfId="0" applyNumberFormat="1" applyFont="1" applyFill="1">
      <alignment vertical="center"/>
    </xf>
    <xf numFmtId="187" fontId="5" fillId="39" borderId="0" xfId="0" applyNumberFormat="1" applyFont="1" applyFill="1" applyAlignment="1">
      <alignment horizontal="left" vertical="center"/>
    </xf>
    <xf numFmtId="0" fontId="5" fillId="28" borderId="27" xfId="0" applyFont="1" applyFill="1" applyBorder="1" applyAlignment="1">
      <alignment vertical="center" shrinkToFit="1"/>
    </xf>
    <xf numFmtId="0" fontId="5" fillId="28" borderId="51" xfId="0" applyFont="1" applyFill="1" applyBorder="1" applyAlignment="1">
      <alignment vertical="center" shrinkToFit="1"/>
    </xf>
    <xf numFmtId="0" fontId="14" fillId="0" borderId="0" xfId="56" applyFont="1">
      <alignment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52" xfId="0" applyFont="1" applyBorder="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wrapText="1"/>
    </xf>
    <xf numFmtId="0" fontId="8" fillId="0" borderId="0" xfId="0" applyFont="1" applyAlignment="1">
      <alignment horizontal="left" vertical="center"/>
    </xf>
    <xf numFmtId="0" fontId="44" fillId="0" borderId="0" xfId="0" applyFont="1">
      <alignment vertical="center"/>
    </xf>
    <xf numFmtId="0" fontId="10" fillId="0" borderId="46" xfId="0" applyFont="1" applyBorder="1" applyAlignment="1">
      <alignment horizontal="left" vertical="center"/>
    </xf>
    <xf numFmtId="0" fontId="10" fillId="0" borderId="46" xfId="0" applyFont="1" applyBorder="1">
      <alignment vertical="center"/>
    </xf>
    <xf numFmtId="0" fontId="8" fillId="0" borderId="0" xfId="0" applyFont="1" applyAlignment="1">
      <alignment horizontal="left" vertical="top"/>
    </xf>
    <xf numFmtId="0" fontId="8" fillId="0" borderId="0" xfId="0" applyFont="1" applyAlignment="1">
      <alignment vertical="top"/>
    </xf>
    <xf numFmtId="0" fontId="8" fillId="0" borderId="46" xfId="0" applyFont="1" applyBorder="1" applyAlignment="1">
      <alignment horizontal="left" vertical="center"/>
    </xf>
    <xf numFmtId="0" fontId="8" fillId="0" borderId="0" xfId="0" applyFont="1" applyAlignment="1">
      <alignment horizontal="right" vertical="top"/>
    </xf>
    <xf numFmtId="0" fontId="8" fillId="0" borderId="0" xfId="0" applyFont="1" applyAlignment="1">
      <alignment horizontal="center" vertical="top"/>
    </xf>
    <xf numFmtId="0" fontId="8" fillId="0" borderId="46" xfId="0" applyFont="1" applyBorder="1" applyAlignment="1">
      <alignment horizontal="left" vertical="top"/>
    </xf>
    <xf numFmtId="0" fontId="8" fillId="0" borderId="46" xfId="0" applyFont="1" applyBorder="1" applyAlignment="1">
      <alignment vertical="top"/>
    </xf>
    <xf numFmtId="0" fontId="8" fillId="0" borderId="53" xfId="0" applyFont="1" applyBorder="1" applyAlignment="1">
      <alignment horizontal="left" vertical="top"/>
    </xf>
    <xf numFmtId="0" fontId="8" fillId="0" borderId="46" xfId="0" applyFont="1" applyBorder="1" applyAlignment="1">
      <alignment horizontal="right" vertical="top"/>
    </xf>
    <xf numFmtId="0" fontId="8" fillId="0" borderId="53" xfId="0" applyFont="1" applyBorder="1" applyAlignment="1">
      <alignment horizontal="left" vertical="center"/>
    </xf>
    <xf numFmtId="0" fontId="8" fillId="0" borderId="53" xfId="0" applyFont="1" applyBorder="1" applyAlignment="1">
      <alignment vertical="top"/>
    </xf>
    <xf numFmtId="0" fontId="8" fillId="0" borderId="52" xfId="0" applyFont="1" applyBorder="1" applyAlignment="1">
      <alignment horizontal="left" vertical="center"/>
    </xf>
    <xf numFmtId="0" fontId="7" fillId="0" borderId="52" xfId="0" applyFont="1" applyBorder="1" applyAlignment="1">
      <alignment horizontal="left" vertical="center"/>
    </xf>
    <xf numFmtId="0" fontId="8" fillId="39" borderId="0" xfId="0" applyFont="1" applyFill="1" applyAlignment="1">
      <alignment horizontal="left" vertical="center"/>
    </xf>
    <xf numFmtId="0" fontId="8" fillId="39" borderId="52" xfId="0" applyFont="1" applyFill="1" applyBorder="1" applyAlignment="1">
      <alignment horizontal="left" vertical="center"/>
    </xf>
    <xf numFmtId="0" fontId="7" fillId="0" borderId="0" xfId="0" applyFont="1" applyAlignment="1">
      <alignment horizontal="left" vertical="top"/>
    </xf>
    <xf numFmtId="0" fontId="8" fillId="0" borderId="46" xfId="0" applyFont="1" applyBorder="1" applyAlignment="1">
      <alignment horizontal="center" vertical="center"/>
    </xf>
    <xf numFmtId="49" fontId="8" fillId="0" borderId="0" xfId="0" applyNumberFormat="1" applyFont="1" applyAlignment="1">
      <alignment horizontal="right" vertical="top"/>
    </xf>
    <xf numFmtId="0" fontId="7" fillId="0" borderId="46" xfId="0" applyFont="1" applyBorder="1" applyAlignment="1">
      <alignment horizontal="left" vertical="center"/>
    </xf>
    <xf numFmtId="0" fontId="8" fillId="39" borderId="46" xfId="0" applyFont="1" applyFill="1" applyBorder="1" applyAlignment="1">
      <alignment horizontal="left" vertical="center"/>
    </xf>
    <xf numFmtId="0" fontId="8" fillId="0" borderId="46" xfId="0" applyFont="1" applyBorder="1" applyAlignment="1">
      <alignment horizontal="right" vertical="center"/>
    </xf>
    <xf numFmtId="0" fontId="8" fillId="0" borderId="0" xfId="0" applyFont="1" applyAlignment="1">
      <alignment horizontal="right" vertical="center"/>
    </xf>
    <xf numFmtId="184" fontId="8" fillId="39" borderId="0" xfId="0" applyNumberFormat="1" applyFont="1" applyFill="1" applyAlignment="1">
      <alignment horizontal="left" vertical="center" shrinkToFit="1"/>
    </xf>
    <xf numFmtId="184" fontId="8" fillId="39" borderId="46" xfId="0" applyNumberFormat="1" applyFont="1" applyFill="1" applyBorder="1" applyAlignment="1">
      <alignment horizontal="left" vertical="center" shrinkToFit="1"/>
    </xf>
    <xf numFmtId="0" fontId="8" fillId="39" borderId="0" xfId="0" applyFont="1" applyFill="1" applyAlignment="1">
      <alignment horizontal="center" vertical="center"/>
    </xf>
    <xf numFmtId="0" fontId="8" fillId="0" borderId="0" xfId="0" applyFont="1" applyAlignment="1">
      <alignment vertical="top" wrapText="1"/>
    </xf>
    <xf numFmtId="0" fontId="15" fillId="0" borderId="46" xfId="56" applyFont="1" applyBorder="1">
      <alignment vertical="center"/>
    </xf>
    <xf numFmtId="49" fontId="15" fillId="0" borderId="46" xfId="56" applyNumberFormat="1" applyFont="1" applyBorder="1">
      <alignment vertical="center"/>
    </xf>
    <xf numFmtId="0" fontId="14" fillId="0" borderId="46" xfId="56" applyFont="1" applyBorder="1">
      <alignment vertical="center"/>
    </xf>
    <xf numFmtId="181" fontId="15" fillId="0" borderId="46" xfId="56" applyNumberFormat="1" applyFont="1" applyBorder="1">
      <alignment vertical="center"/>
    </xf>
    <xf numFmtId="49" fontId="15" fillId="0" borderId="0" xfId="56" applyNumberFormat="1" applyFont="1">
      <alignment vertical="center"/>
    </xf>
    <xf numFmtId="0" fontId="9" fillId="0" borderId="52" xfId="0" applyFont="1" applyBorder="1">
      <alignment vertical="center"/>
    </xf>
    <xf numFmtId="0" fontId="9" fillId="34" borderId="46" xfId="0" applyFont="1" applyFill="1" applyBorder="1">
      <alignment vertical="center"/>
    </xf>
    <xf numFmtId="0" fontId="9" fillId="0" borderId="52" xfId="0" applyFont="1" applyBorder="1" applyAlignment="1">
      <alignment horizontal="right" vertical="center"/>
    </xf>
    <xf numFmtId="0" fontId="9" fillId="34" borderId="52" xfId="0" applyFont="1" applyFill="1" applyBorder="1" applyAlignment="1">
      <alignment horizontal="center" vertical="center"/>
    </xf>
    <xf numFmtId="0" fontId="9" fillId="0" borderId="52" xfId="0" applyFont="1" applyBorder="1" applyAlignment="1">
      <alignment horizontal="center" vertical="center"/>
    </xf>
    <xf numFmtId="0" fontId="9" fillId="0" borderId="53" xfId="0" applyFont="1" applyBorder="1">
      <alignment vertical="center"/>
    </xf>
    <xf numFmtId="0" fontId="9" fillId="0" borderId="54" xfId="0" applyFont="1" applyBorder="1">
      <alignment vertical="center"/>
    </xf>
    <xf numFmtId="0" fontId="9" fillId="0" borderId="0" xfId="0" applyFont="1" applyAlignment="1">
      <alignment horizontal="right" vertical="center"/>
    </xf>
    <xf numFmtId="0" fontId="9" fillId="0" borderId="13" xfId="0" applyFont="1" applyBorder="1">
      <alignment vertical="center"/>
    </xf>
    <xf numFmtId="0" fontId="9" fillId="0" borderId="14" xfId="0" applyFont="1" applyBorder="1">
      <alignment vertical="center"/>
    </xf>
    <xf numFmtId="0" fontId="8" fillId="0" borderId="13" xfId="0" applyFont="1" applyBorder="1">
      <alignment vertical="center"/>
    </xf>
    <xf numFmtId="0" fontId="8" fillId="0" borderId="11" xfId="0" applyFont="1" applyBorder="1">
      <alignment vertical="center"/>
    </xf>
    <xf numFmtId="0" fontId="8" fillId="0" borderId="14" xfId="0" applyFont="1" applyBorder="1">
      <alignment vertical="center"/>
    </xf>
    <xf numFmtId="49" fontId="8" fillId="0" borderId="0" xfId="0" applyNumberFormat="1" applyFont="1" applyAlignment="1">
      <alignment horizontal="center" vertical="center"/>
    </xf>
    <xf numFmtId="0" fontId="8" fillId="37" borderId="0" xfId="0" applyFont="1" applyFill="1">
      <alignment vertical="center"/>
    </xf>
    <xf numFmtId="0" fontId="8" fillId="37" borderId="0" xfId="0" applyFont="1" applyFill="1" applyAlignment="1">
      <alignment horizontal="right" vertical="center"/>
    </xf>
    <xf numFmtId="0" fontId="8" fillId="37" borderId="15" xfId="0" applyFont="1" applyFill="1" applyBorder="1">
      <alignment vertical="center"/>
    </xf>
    <xf numFmtId="0" fontId="8" fillId="0" borderId="14" xfId="0" applyFont="1" applyBorder="1" applyAlignment="1">
      <alignment horizontal="center" vertical="center"/>
    </xf>
    <xf numFmtId="0" fontId="8" fillId="37" borderId="46" xfId="0" applyFont="1" applyFill="1" applyBorder="1">
      <alignment vertical="center"/>
    </xf>
    <xf numFmtId="0" fontId="8" fillId="34" borderId="0" xfId="0" applyFont="1" applyFill="1" applyAlignment="1">
      <alignment horizontal="center" vertical="center"/>
    </xf>
    <xf numFmtId="0" fontId="8" fillId="0" borderId="52" xfId="0" applyFont="1" applyBorder="1">
      <alignment vertical="center"/>
    </xf>
    <xf numFmtId="0" fontId="8" fillId="0" borderId="32" xfId="0" applyFont="1" applyBorder="1" applyAlignment="1">
      <alignment horizontal="right" vertical="center"/>
    </xf>
    <xf numFmtId="0" fontId="8" fillId="0" borderId="22" xfId="0" applyFont="1" applyBorder="1" applyAlignment="1">
      <alignment horizontal="right" vertical="center"/>
    </xf>
    <xf numFmtId="0" fontId="8" fillId="34" borderId="11" xfId="0" applyFont="1" applyFill="1" applyBorder="1" applyAlignment="1">
      <alignment horizontal="center" vertical="center"/>
    </xf>
    <xf numFmtId="0" fontId="8" fillId="0" borderId="21" xfId="0" applyFont="1" applyBorder="1">
      <alignment vertical="center"/>
    </xf>
    <xf numFmtId="0" fontId="11" fillId="0" borderId="0" xfId="0" applyFont="1" applyAlignment="1">
      <alignment horizontal="right" vertical="center"/>
    </xf>
    <xf numFmtId="0" fontId="8" fillId="0" borderId="15" xfId="0" applyFont="1" applyBorder="1" applyAlignment="1">
      <alignment horizontal="center" vertical="center"/>
    </xf>
    <xf numFmtId="0" fontId="8" fillId="0" borderId="52" xfId="0" applyFont="1" applyBorder="1" applyAlignment="1">
      <alignment horizontal="right" vertical="center"/>
    </xf>
    <xf numFmtId="0" fontId="8" fillId="0" borderId="32" xfId="0" applyFont="1" applyBorder="1">
      <alignment vertical="center"/>
    </xf>
    <xf numFmtId="0" fontId="46" fillId="0" borderId="0" xfId="53" applyFont="1">
      <alignment vertical="center"/>
    </xf>
    <xf numFmtId="0" fontId="46" fillId="0" borderId="0" xfId="53" applyFont="1" applyAlignment="1">
      <alignment horizontal="center" vertical="center"/>
    </xf>
    <xf numFmtId="182" fontId="46" fillId="0" borderId="0" xfId="53" applyNumberFormat="1" applyFont="1" applyProtection="1">
      <alignment vertical="center"/>
      <protection locked="0"/>
    </xf>
    <xf numFmtId="0" fontId="47" fillId="0" borderId="0" xfId="53" applyFont="1">
      <alignment vertical="center"/>
    </xf>
    <xf numFmtId="0" fontId="48" fillId="0" borderId="0" xfId="53" applyFont="1" applyAlignment="1">
      <alignment horizontal="center" vertical="center"/>
    </xf>
    <xf numFmtId="0" fontId="46" fillId="0" borderId="0" xfId="53" applyFont="1" applyAlignment="1">
      <alignment horizontal="right" vertical="center"/>
    </xf>
    <xf numFmtId="0" fontId="46" fillId="0" borderId="0" xfId="53" applyFont="1" applyAlignment="1">
      <alignment vertical="center" wrapText="1"/>
    </xf>
    <xf numFmtId="0" fontId="46" fillId="0" borderId="0" xfId="53" applyFont="1" applyAlignment="1">
      <alignment vertical="top" wrapText="1"/>
    </xf>
    <xf numFmtId="0" fontId="46" fillId="0" borderId="0" xfId="53" applyFont="1" applyAlignment="1">
      <alignment horizontal="left" vertical="center"/>
    </xf>
    <xf numFmtId="0" fontId="50" fillId="0" borderId="0" xfId="53" applyFont="1">
      <alignment vertical="center"/>
    </xf>
    <xf numFmtId="0" fontId="49" fillId="0" borderId="0" xfId="53" applyFont="1" applyAlignment="1">
      <alignment horizontal="left" vertical="center"/>
    </xf>
    <xf numFmtId="0" fontId="49" fillId="0" borderId="0" xfId="53" applyFont="1">
      <alignment vertical="center"/>
    </xf>
    <xf numFmtId="0" fontId="49" fillId="0" borderId="0" xfId="53" applyFont="1" applyAlignment="1">
      <alignment horizontal="center" vertical="center"/>
    </xf>
    <xf numFmtId="0" fontId="46" fillId="0" borderId="0" xfId="53" applyFont="1" applyAlignment="1">
      <alignment horizontal="center" vertical="center" wrapText="1"/>
    </xf>
    <xf numFmtId="0" fontId="48" fillId="0" borderId="0" xfId="53" applyFont="1">
      <alignment vertical="center"/>
    </xf>
    <xf numFmtId="0" fontId="46" fillId="0" borderId="0" xfId="53" applyFont="1" applyAlignment="1">
      <alignment vertical="center" shrinkToFit="1"/>
    </xf>
    <xf numFmtId="0" fontId="51" fillId="0" borderId="0" xfId="53" applyFont="1" applyAlignment="1">
      <alignment vertical="center" wrapText="1"/>
    </xf>
    <xf numFmtId="0" fontId="52" fillId="0" borderId="0" xfId="53" applyFont="1">
      <alignment vertical="center"/>
    </xf>
    <xf numFmtId="0" fontId="51" fillId="0" borderId="0" xfId="53" applyFont="1">
      <alignment vertical="center"/>
    </xf>
    <xf numFmtId="0" fontId="51" fillId="0" borderId="0" xfId="53" applyFont="1" applyAlignment="1">
      <alignment horizontal="left" vertical="center"/>
    </xf>
    <xf numFmtId="0" fontId="52" fillId="0" borderId="0" xfId="53" applyFont="1" applyAlignment="1">
      <alignment horizontal="center" vertical="center"/>
    </xf>
    <xf numFmtId="0" fontId="53" fillId="0" borderId="0" xfId="53" applyFont="1" applyAlignment="1">
      <alignment horizontal="left" vertical="center"/>
    </xf>
    <xf numFmtId="0" fontId="52" fillId="0" borderId="0" xfId="53" applyFont="1" applyAlignment="1">
      <alignment horizontal="left" vertical="center"/>
    </xf>
    <xf numFmtId="0" fontId="51" fillId="0" borderId="0" xfId="53" applyFont="1" applyAlignment="1">
      <alignment horizontal="right" vertical="center"/>
    </xf>
    <xf numFmtId="0" fontId="51" fillId="0" borderId="0" xfId="53" applyFont="1" applyAlignment="1">
      <alignment horizontal="center" vertical="center"/>
    </xf>
    <xf numFmtId="0" fontId="54" fillId="0" borderId="0" xfId="53" applyFont="1">
      <alignment vertical="center"/>
    </xf>
    <xf numFmtId="0" fontId="53" fillId="0" borderId="0" xfId="53" applyFont="1">
      <alignment vertical="center"/>
    </xf>
    <xf numFmtId="0" fontId="46" fillId="0" borderId="0" xfId="53" applyFont="1" applyProtection="1">
      <alignment vertical="center"/>
      <protection locked="0"/>
    </xf>
    <xf numFmtId="0" fontId="46" fillId="0" borderId="0" xfId="53" applyFont="1" applyAlignment="1" applyProtection="1">
      <alignment vertical="center" wrapText="1"/>
      <protection locked="0"/>
    </xf>
    <xf numFmtId="179" fontId="46" fillId="0" borderId="0" xfId="53" applyNumberFormat="1" applyFont="1" applyAlignment="1" applyProtection="1">
      <alignment vertical="center" wrapText="1"/>
      <protection locked="0"/>
    </xf>
    <xf numFmtId="0" fontId="48" fillId="0" borderId="0" xfId="53" applyFont="1" applyProtection="1">
      <alignment vertical="center"/>
      <protection locked="0"/>
    </xf>
    <xf numFmtId="0" fontId="48" fillId="0" borderId="0" xfId="53" applyFont="1" applyAlignment="1">
      <alignment horizontal="right" vertical="center"/>
    </xf>
    <xf numFmtId="0" fontId="46" fillId="0" borderId="0" xfId="53" applyFont="1" applyAlignment="1" applyProtection="1">
      <alignment vertical="top"/>
      <protection locked="0"/>
    </xf>
    <xf numFmtId="182" fontId="46" fillId="0" borderId="0" xfId="53" applyNumberFormat="1" applyFont="1" applyAlignment="1" applyProtection="1">
      <alignment vertical="center" wrapText="1"/>
      <protection locked="0"/>
    </xf>
    <xf numFmtId="0" fontId="51" fillId="0" borderId="0" xfId="53" applyFont="1" applyAlignment="1">
      <alignment vertical="top" wrapText="1"/>
    </xf>
    <xf numFmtId="0" fontId="51" fillId="0" borderId="0" xfId="53" applyFont="1" applyAlignment="1">
      <alignment horizontal="left" vertical="top" wrapText="1"/>
    </xf>
    <xf numFmtId="182" fontId="46" fillId="0" borderId="0" xfId="53" applyNumberFormat="1" applyFont="1">
      <alignment vertical="center"/>
    </xf>
    <xf numFmtId="0" fontId="54" fillId="0" borderId="0" xfId="53" applyFont="1" applyAlignment="1">
      <alignment horizontal="left" vertical="center"/>
    </xf>
    <xf numFmtId="0" fontId="55" fillId="0" borderId="0" xfId="53" applyFont="1" applyAlignment="1">
      <alignment horizontal="left" vertical="center"/>
    </xf>
    <xf numFmtId="0" fontId="54" fillId="0" borderId="0" xfId="53" applyFont="1" applyAlignment="1">
      <alignment horizontal="right" vertical="center"/>
    </xf>
    <xf numFmtId="0" fontId="46" fillId="0" borderId="0" xfId="53" applyFont="1" applyAlignment="1">
      <alignment vertical="top"/>
    </xf>
    <xf numFmtId="182" fontId="46" fillId="0" borderId="0" xfId="53" applyNumberFormat="1" applyFont="1" applyAlignment="1">
      <alignment vertical="center" wrapText="1"/>
    </xf>
    <xf numFmtId="0" fontId="54" fillId="0" borderId="0" xfId="53" applyFont="1" applyAlignment="1">
      <alignment horizontal="center" vertical="center"/>
    </xf>
    <xf numFmtId="0" fontId="55" fillId="0" borderId="0" xfId="53" applyFont="1">
      <alignment vertical="center"/>
    </xf>
    <xf numFmtId="0" fontId="56" fillId="0" borderId="0" xfId="53" applyFont="1">
      <alignment vertical="center"/>
    </xf>
    <xf numFmtId="0" fontId="48" fillId="0" borderId="0" xfId="53" applyFont="1" applyAlignment="1">
      <alignment horizontal="left" vertical="center"/>
    </xf>
    <xf numFmtId="49" fontId="16" fillId="0" borderId="0" xfId="120" applyNumberFormat="1" applyFont="1" applyAlignment="1"/>
    <xf numFmtId="0" fontId="16" fillId="0" borderId="0" xfId="120" applyFont="1" applyAlignment="1"/>
    <xf numFmtId="0" fontId="16" fillId="0" borderId="0" xfId="120" applyFont="1" applyAlignment="1" applyProtection="1">
      <alignment horizontal="left" shrinkToFit="1"/>
      <protection locked="0"/>
    </xf>
    <xf numFmtId="0" fontId="16" fillId="0" borderId="0" xfId="69" applyFont="1"/>
    <xf numFmtId="49" fontId="16" fillId="0" borderId="0" xfId="69" applyNumberFormat="1" applyFont="1" applyProtection="1">
      <protection locked="0"/>
    </xf>
    <xf numFmtId="0" fontId="16" fillId="0" borderId="0" xfId="69" applyFont="1" applyProtection="1">
      <protection locked="0"/>
    </xf>
    <xf numFmtId="49" fontId="16" fillId="0" borderId="0" xfId="69" applyNumberFormat="1" applyFont="1"/>
    <xf numFmtId="49" fontId="16" fillId="0" borderId="0" xfId="120" applyNumberFormat="1" applyFont="1" applyAlignment="1" applyProtection="1">
      <protection locked="0"/>
    </xf>
    <xf numFmtId="0" fontId="16" fillId="0" borderId="0" xfId="120" applyFont="1" applyAlignment="1" applyProtection="1">
      <protection locked="0"/>
    </xf>
    <xf numFmtId="49" fontId="16" fillId="0" borderId="46" xfId="120" applyNumberFormat="1" applyFont="1" applyBorder="1" applyAlignment="1" applyProtection="1">
      <protection locked="0"/>
    </xf>
    <xf numFmtId="0" fontId="16" fillId="0" borderId="46" xfId="120" applyFont="1" applyBorder="1" applyAlignment="1" applyProtection="1">
      <protection locked="0"/>
    </xf>
    <xf numFmtId="49" fontId="16" fillId="0" borderId="46" xfId="69" applyNumberFormat="1" applyFont="1" applyBorder="1"/>
    <xf numFmtId="0" fontId="16" fillId="0" borderId="46" xfId="69" applyFont="1" applyBorder="1"/>
    <xf numFmtId="0" fontId="8" fillId="0" borderId="0" xfId="55" applyFont="1" applyAlignment="1">
      <alignment horizontal="left" vertical="center"/>
    </xf>
    <xf numFmtId="0" fontId="7" fillId="0" borderId="0" xfId="55" applyFont="1" applyAlignment="1">
      <alignment horizontal="left" vertical="center"/>
    </xf>
    <xf numFmtId="0" fontId="10" fillId="0" borderId="46" xfId="55" applyFont="1" applyBorder="1" applyAlignment="1">
      <alignment horizontal="left" vertical="center"/>
    </xf>
    <xf numFmtId="0" fontId="10" fillId="0" borderId="46" xfId="55" applyFont="1" applyBorder="1">
      <alignment vertical="center"/>
    </xf>
    <xf numFmtId="0" fontId="10" fillId="0" borderId="0" xfId="55" applyFont="1" applyAlignment="1">
      <alignment horizontal="left" vertical="center"/>
    </xf>
    <xf numFmtId="0" fontId="8" fillId="0" borderId="0" xfId="55" applyFont="1" applyAlignment="1">
      <alignment horizontal="left" vertical="top"/>
    </xf>
    <xf numFmtId="0" fontId="8" fillId="0" borderId="0" xfId="55" applyFont="1" applyAlignment="1">
      <alignment vertical="top"/>
    </xf>
    <xf numFmtId="0" fontId="8" fillId="0" borderId="46" xfId="55" applyFont="1" applyBorder="1" applyAlignment="1">
      <alignment horizontal="left" vertical="center"/>
    </xf>
    <xf numFmtId="0" fontId="8" fillId="0" borderId="46" xfId="55" applyFont="1" applyBorder="1" applyAlignment="1">
      <alignment horizontal="left" vertical="top"/>
    </xf>
    <xf numFmtId="182" fontId="0" fillId="0" borderId="0" xfId="0" applyNumberFormat="1" applyAlignment="1">
      <alignment horizontal="left" vertical="center"/>
    </xf>
    <xf numFmtId="0" fontId="57" fillId="0" borderId="0" xfId="0" applyFont="1">
      <alignment vertical="center"/>
    </xf>
    <xf numFmtId="0" fontId="5" fillId="0" borderId="55" xfId="0" applyFont="1" applyBorder="1">
      <alignment vertical="center"/>
    </xf>
    <xf numFmtId="176" fontId="5" fillId="0" borderId="55" xfId="0" applyNumberFormat="1" applyFont="1" applyBorder="1">
      <alignment vertical="center"/>
    </xf>
    <xf numFmtId="0" fontId="5" fillId="0" borderId="56" xfId="0" applyFont="1" applyBorder="1">
      <alignment vertical="center"/>
    </xf>
    <xf numFmtId="0" fontId="5" fillId="0" borderId="57" xfId="0" applyFont="1" applyBorder="1">
      <alignment vertical="center"/>
    </xf>
    <xf numFmtId="176" fontId="0" fillId="0" borderId="0" xfId="0" applyNumberFormat="1">
      <alignment vertical="center"/>
    </xf>
    <xf numFmtId="0" fontId="5" fillId="0" borderId="36" xfId="0" applyFont="1" applyBorder="1" applyAlignment="1">
      <alignment vertical="center" shrinkToFit="1"/>
    </xf>
    <xf numFmtId="176" fontId="5" fillId="0" borderId="36" xfId="0" applyNumberFormat="1" applyFont="1" applyBorder="1">
      <alignment vertical="center"/>
    </xf>
    <xf numFmtId="0" fontId="5" fillId="0" borderId="36" xfId="0" applyFont="1" applyBorder="1">
      <alignment vertical="center"/>
    </xf>
    <xf numFmtId="176" fontId="5" fillId="0" borderId="0" xfId="0" applyNumberFormat="1" applyFont="1">
      <alignment vertical="center"/>
    </xf>
    <xf numFmtId="0" fontId="5" fillId="0" borderId="42" xfId="0" applyFont="1" applyBorder="1" applyAlignment="1">
      <alignment horizontal="center" vertical="center"/>
    </xf>
    <xf numFmtId="176" fontId="5" fillId="0" borderId="42" xfId="0" applyNumberFormat="1" applyFont="1" applyBorder="1">
      <alignment vertical="center"/>
    </xf>
    <xf numFmtId="0" fontId="0" fillId="0" borderId="36" xfId="0" applyBorder="1">
      <alignment vertical="center"/>
    </xf>
    <xf numFmtId="176" fontId="0" fillId="0" borderId="36" xfId="0" applyNumberFormat="1" applyBorder="1">
      <alignment vertical="center"/>
    </xf>
    <xf numFmtId="0" fontId="0" fillId="38" borderId="36" xfId="0" applyFill="1" applyBorder="1">
      <alignment vertical="center"/>
    </xf>
    <xf numFmtId="0" fontId="0" fillId="38" borderId="0" xfId="0" applyFill="1">
      <alignment vertical="center"/>
    </xf>
    <xf numFmtId="0" fontId="0" fillId="0" borderId="58" xfId="0" applyBorder="1">
      <alignment vertical="center"/>
    </xf>
    <xf numFmtId="0" fontId="74" fillId="0" borderId="0" xfId="1256" applyFont="1" applyAlignment="1">
      <alignment horizontal="center" vertical="center"/>
    </xf>
    <xf numFmtId="0" fontId="75" fillId="0" borderId="0" xfId="1256" applyFont="1">
      <alignment vertical="center"/>
    </xf>
    <xf numFmtId="0" fontId="8" fillId="0" borderId="0" xfId="1256" applyFont="1">
      <alignment vertical="center"/>
    </xf>
    <xf numFmtId="0" fontId="9" fillId="0" borderId="13" xfId="1256" applyFont="1" applyBorder="1" applyAlignment="1">
      <alignment horizontal="center" vertical="center"/>
    </xf>
    <xf numFmtId="0" fontId="9" fillId="0" borderId="13" xfId="1256" applyFont="1" applyBorder="1">
      <alignment vertical="center"/>
    </xf>
    <xf numFmtId="0" fontId="9" fillId="0" borderId="15" xfId="1256" applyFont="1" applyBorder="1" applyAlignment="1">
      <alignment horizontal="center" vertical="center"/>
    </xf>
    <xf numFmtId="0" fontId="9" fillId="0" borderId="0" xfId="1256" applyFont="1">
      <alignment vertical="center"/>
    </xf>
    <xf numFmtId="0" fontId="9" fillId="0" borderId="0" xfId="1256" applyFont="1" applyAlignment="1">
      <alignment horizontal="right" vertical="center"/>
    </xf>
    <xf numFmtId="0" fontId="9" fillId="0" borderId="0" xfId="1256" applyFont="1" applyAlignment="1">
      <alignment horizontal="left" vertical="center"/>
    </xf>
    <xf numFmtId="182" fontId="8" fillId="0" borderId="0" xfId="1256" applyNumberFormat="1" applyFont="1">
      <alignment vertical="center"/>
    </xf>
    <xf numFmtId="0" fontId="9" fillId="0" borderId="0" xfId="1256" applyFont="1" applyAlignment="1">
      <alignment horizontal="left" vertical="center" indent="1"/>
    </xf>
    <xf numFmtId="0" fontId="77" fillId="0" borderId="0" xfId="1256" applyFont="1">
      <alignment vertical="center"/>
    </xf>
    <xf numFmtId="0" fontId="11" fillId="0" borderId="0" xfId="1256" applyFont="1" applyAlignment="1">
      <alignment horizontal="left" vertical="center"/>
    </xf>
    <xf numFmtId="0" fontId="10" fillId="0" borderId="0" xfId="1256" applyFont="1" applyAlignment="1">
      <alignment horizontal="left" vertical="center"/>
    </xf>
    <xf numFmtId="0" fontId="11" fillId="0" borderId="0" xfId="1256" applyFont="1">
      <alignment vertical="center"/>
    </xf>
    <xf numFmtId="0" fontId="11" fillId="0" borderId="0" xfId="1256" applyFont="1" applyAlignment="1">
      <alignment horizontal="left" vertical="center" wrapText="1"/>
    </xf>
    <xf numFmtId="0" fontId="77" fillId="0" borderId="0" xfId="1256" applyFont="1" applyAlignment="1">
      <alignment horizontal="right" vertical="center"/>
    </xf>
    <xf numFmtId="0" fontId="10" fillId="0" borderId="0" xfId="1256" applyFont="1">
      <alignment vertical="center"/>
    </xf>
    <xf numFmtId="0" fontId="9" fillId="0" borderId="0" xfId="1256" applyFont="1" applyAlignment="1">
      <alignment horizontal="center" vertical="center"/>
    </xf>
    <xf numFmtId="0" fontId="10" fillId="0" borderId="59" xfId="1256" applyFont="1" applyBorder="1" applyProtection="1">
      <alignment vertical="center"/>
      <protection locked="0"/>
    </xf>
    <xf numFmtId="0" fontId="10" fillId="0" borderId="60" xfId="1256" applyFont="1" applyBorder="1">
      <alignment vertical="center"/>
    </xf>
    <xf numFmtId="0" fontId="10" fillId="0" borderId="61" xfId="1256" applyFont="1" applyBorder="1">
      <alignment vertical="center"/>
    </xf>
    <xf numFmtId="0" fontId="10" fillId="0" borderId="62" xfId="1256" applyFont="1" applyBorder="1" applyProtection="1">
      <alignment vertical="center"/>
      <protection locked="0"/>
    </xf>
    <xf numFmtId="0" fontId="10" fillId="0" borderId="63" xfId="1256" applyFont="1" applyBorder="1">
      <alignment vertical="center"/>
    </xf>
    <xf numFmtId="0" fontId="10" fillId="0" borderId="64" xfId="1256" applyFont="1" applyBorder="1">
      <alignment vertical="center"/>
    </xf>
    <xf numFmtId="0" fontId="10" fillId="0" borderId="47" xfId="1256" applyFont="1" applyBorder="1" applyProtection="1">
      <alignment vertical="center"/>
      <protection locked="0"/>
    </xf>
    <xf numFmtId="0" fontId="10" fillId="0" borderId="54" xfId="1256" applyFont="1" applyBorder="1">
      <alignment vertical="center"/>
    </xf>
    <xf numFmtId="0" fontId="10" fillId="0" borderId="13" xfId="1256" applyFont="1" applyBorder="1" applyProtection="1">
      <alignment vertical="center"/>
      <protection locked="0"/>
    </xf>
    <xf numFmtId="0" fontId="10" fillId="0" borderId="15" xfId="1256" applyFont="1" applyBorder="1">
      <alignment vertical="center"/>
    </xf>
    <xf numFmtId="0" fontId="10" fillId="0" borderId="65" xfId="1256" applyFont="1" applyBorder="1" applyAlignment="1">
      <alignment horizontal="left" vertical="center" indent="1"/>
    </xf>
    <xf numFmtId="0" fontId="10" fillId="0" borderId="66" xfId="1256" applyFont="1" applyBorder="1" applyAlignment="1">
      <alignment horizontal="left" vertical="center" indent="1"/>
    </xf>
    <xf numFmtId="0" fontId="10" fillId="0" borderId="14" xfId="1256" applyFont="1" applyBorder="1" applyProtection="1">
      <alignment vertical="center"/>
      <protection locked="0"/>
    </xf>
    <xf numFmtId="0" fontId="10" fillId="0" borderId="22" xfId="1256" applyFont="1" applyBorder="1">
      <alignment vertical="center"/>
    </xf>
    <xf numFmtId="0" fontId="79" fillId="0" borderId="0" xfId="1256" applyFont="1">
      <alignment vertical="center"/>
    </xf>
    <xf numFmtId="0" fontId="9" fillId="0" borderId="0" xfId="1256" applyFont="1" applyAlignment="1">
      <alignment vertical="top"/>
    </xf>
    <xf numFmtId="0" fontId="10" fillId="0" borderId="0" xfId="1256" applyFont="1" applyAlignment="1">
      <alignment horizontal="right" vertical="center"/>
    </xf>
    <xf numFmtId="0" fontId="9" fillId="0" borderId="0" xfId="1256" applyFont="1" applyAlignment="1">
      <alignment vertical="center" wrapText="1"/>
    </xf>
    <xf numFmtId="0" fontId="4" fillId="0" borderId="0" xfId="1256">
      <alignment vertical="center"/>
    </xf>
    <xf numFmtId="0" fontId="44" fillId="0" borderId="0" xfId="1256" applyFont="1" applyAlignment="1">
      <alignment horizontal="center" vertical="center"/>
    </xf>
    <xf numFmtId="0" fontId="80" fillId="0" borderId="0" xfId="1256" applyFont="1" applyAlignment="1">
      <alignment horizontal="center" vertical="center"/>
    </xf>
    <xf numFmtId="0" fontId="4" fillId="0" borderId="0" xfId="1256" applyAlignment="1">
      <alignment horizontal="right" vertical="center"/>
    </xf>
    <xf numFmtId="0" fontId="81" fillId="0" borderId="0" xfId="1256" applyFont="1">
      <alignment vertical="center"/>
    </xf>
    <xf numFmtId="0" fontId="76" fillId="0" borderId="0" xfId="1256" applyFont="1">
      <alignment vertical="center"/>
    </xf>
    <xf numFmtId="0" fontId="9" fillId="0" borderId="0" xfId="1256" applyFont="1" applyAlignment="1">
      <alignment horizontal="left" vertical="top"/>
    </xf>
    <xf numFmtId="0" fontId="9" fillId="0" borderId="15" xfId="1256" applyFont="1" applyBorder="1">
      <alignment vertical="center"/>
    </xf>
    <xf numFmtId="0" fontId="79" fillId="0" borderId="0" xfId="1256" applyFont="1" applyAlignment="1">
      <alignment horizontal="left" vertical="center"/>
    </xf>
    <xf numFmtId="0" fontId="79" fillId="0" borderId="15" xfId="1256" applyFont="1" applyBorder="1" applyAlignment="1">
      <alignment horizontal="left" vertical="center"/>
    </xf>
    <xf numFmtId="0" fontId="9" fillId="0" borderId="46" xfId="1256" applyFont="1" applyBorder="1">
      <alignment vertical="center"/>
    </xf>
    <xf numFmtId="0" fontId="4" fillId="0" borderId="0" xfId="1256" applyAlignment="1">
      <alignment horizontal="center" vertical="center"/>
    </xf>
    <xf numFmtId="0" fontId="82" fillId="0" borderId="0" xfId="1256" applyFont="1" applyAlignment="1">
      <alignment horizontal="left" vertical="center"/>
    </xf>
    <xf numFmtId="0" fontId="75" fillId="0" borderId="0" xfId="1256" applyFont="1" applyAlignment="1">
      <alignment horizontal="center" vertical="center"/>
    </xf>
    <xf numFmtId="0" fontId="12" fillId="0" borderId="0" xfId="1256" applyFont="1">
      <alignment vertical="center"/>
    </xf>
    <xf numFmtId="0" fontId="75" fillId="0" borderId="46" xfId="1256" applyFont="1" applyBorder="1">
      <alignment vertical="center"/>
    </xf>
    <xf numFmtId="0" fontId="9" fillId="41" borderId="21" xfId="1256" applyFont="1" applyFill="1" applyBorder="1">
      <alignment vertical="center"/>
    </xf>
    <xf numFmtId="0" fontId="9" fillId="41" borderId="52" xfId="1256" applyFont="1" applyFill="1" applyBorder="1">
      <alignment vertical="center"/>
    </xf>
    <xf numFmtId="0" fontId="9" fillId="41" borderId="32" xfId="1256" applyFont="1" applyFill="1" applyBorder="1">
      <alignment vertical="center"/>
    </xf>
    <xf numFmtId="0" fontId="9" fillId="0" borderId="23" xfId="1256" applyFont="1" applyBorder="1">
      <alignment vertical="center"/>
    </xf>
    <xf numFmtId="0" fontId="9" fillId="0" borderId="67" xfId="1256" applyFont="1" applyBorder="1">
      <alignment vertical="center"/>
    </xf>
    <xf numFmtId="0" fontId="9" fillId="0" borderId="24" xfId="1256" applyFont="1" applyBorder="1">
      <alignment vertical="center"/>
    </xf>
    <xf numFmtId="0" fontId="9" fillId="0" borderId="68" xfId="1256" applyFont="1" applyBorder="1">
      <alignment vertical="center"/>
    </xf>
    <xf numFmtId="0" fontId="9" fillId="0" borderId="56" xfId="1256" applyFont="1" applyBorder="1">
      <alignment vertical="center"/>
    </xf>
    <xf numFmtId="0" fontId="9" fillId="0" borderId="45" xfId="1256" applyFont="1" applyBorder="1">
      <alignment vertical="center"/>
    </xf>
    <xf numFmtId="0" fontId="9" fillId="0" borderId="69" xfId="1256" applyFont="1" applyBorder="1">
      <alignment vertical="center"/>
    </xf>
    <xf numFmtId="0" fontId="9" fillId="0" borderId="70" xfId="1256" applyFont="1" applyBorder="1">
      <alignment vertical="center"/>
    </xf>
    <xf numFmtId="0" fontId="9" fillId="0" borderId="71" xfId="1256" applyFont="1" applyBorder="1">
      <alignment vertical="center"/>
    </xf>
    <xf numFmtId="0" fontId="12" fillId="0" borderId="56" xfId="1256" applyFont="1" applyBorder="1">
      <alignment vertical="center"/>
    </xf>
    <xf numFmtId="0" fontId="12" fillId="0" borderId="45" xfId="1256" applyFont="1" applyBorder="1">
      <alignment vertical="center"/>
    </xf>
    <xf numFmtId="0" fontId="12" fillId="0" borderId="68" xfId="1256" applyFont="1" applyBorder="1">
      <alignment vertical="center"/>
    </xf>
    <xf numFmtId="0" fontId="12" fillId="0" borderId="69" xfId="1256" applyFont="1" applyBorder="1">
      <alignment vertical="center"/>
    </xf>
    <xf numFmtId="0" fontId="12" fillId="0" borderId="70" xfId="1256" applyFont="1" applyBorder="1">
      <alignment vertical="center"/>
    </xf>
    <xf numFmtId="0" fontId="12" fillId="0" borderId="71" xfId="1256" applyFont="1" applyBorder="1">
      <alignment vertical="center"/>
    </xf>
    <xf numFmtId="0" fontId="75" fillId="0" borderId="0" xfId="1256" applyFont="1" applyAlignment="1">
      <alignment horizontal="right" vertical="center"/>
    </xf>
    <xf numFmtId="0" fontId="76" fillId="0" borderId="0" xfId="1256" applyFont="1" applyAlignment="1">
      <alignment horizontal="right" vertical="center"/>
    </xf>
    <xf numFmtId="0" fontId="76" fillId="0" borderId="0" xfId="1256" applyFont="1" applyAlignment="1">
      <alignment horizontal="left" vertical="center" shrinkToFit="1"/>
    </xf>
    <xf numFmtId="0" fontId="8" fillId="39" borderId="46" xfId="0" applyFont="1" applyFill="1" applyBorder="1" applyAlignment="1">
      <alignment horizontal="center" vertical="center"/>
    </xf>
    <xf numFmtId="0" fontId="19" fillId="0" borderId="0" xfId="0" applyFont="1">
      <alignment vertical="center"/>
    </xf>
    <xf numFmtId="192" fontId="17" fillId="31" borderId="0" xfId="0" applyNumberFormat="1" applyFont="1" applyFill="1" applyAlignment="1" applyProtection="1">
      <alignment horizontal="center" vertical="center" shrinkToFit="1"/>
      <protection locked="0" hidden="1"/>
    </xf>
    <xf numFmtId="188" fontId="17" fillId="31" borderId="0" xfId="0" applyNumberFormat="1" applyFont="1" applyFill="1" applyAlignment="1" applyProtection="1">
      <alignment horizontal="center" vertical="center" shrinkToFit="1"/>
      <protection locked="0" hidden="1"/>
    </xf>
    <xf numFmtId="189" fontId="17" fillId="31" borderId="0" xfId="0" applyNumberFormat="1" applyFont="1" applyFill="1" applyAlignment="1" applyProtection="1">
      <alignment horizontal="center" vertical="center" shrinkToFit="1"/>
      <protection locked="0" hidden="1"/>
    </xf>
    <xf numFmtId="0" fontId="19" fillId="0" borderId="46" xfId="0" applyFont="1" applyBorder="1">
      <alignment vertical="center"/>
    </xf>
    <xf numFmtId="0" fontId="19" fillId="0" borderId="0" xfId="0" applyFont="1" applyAlignment="1">
      <alignment horizontal="right" vertical="center"/>
    </xf>
    <xf numFmtId="192" fontId="19" fillId="31" borderId="0" xfId="0" applyNumberFormat="1" applyFont="1" applyFill="1" applyAlignment="1" applyProtection="1">
      <alignment horizontal="center" vertical="center" shrinkToFit="1"/>
      <protection locked="0" hidden="1"/>
    </xf>
    <xf numFmtId="188" fontId="19" fillId="31" borderId="0" xfId="0" applyNumberFormat="1" applyFont="1" applyFill="1" applyAlignment="1" applyProtection="1">
      <alignment horizontal="center" vertical="center" shrinkToFit="1"/>
      <protection locked="0" hidden="1"/>
    </xf>
    <xf numFmtId="189" fontId="19" fillId="31" borderId="0" xfId="0" applyNumberFormat="1" applyFont="1" applyFill="1" applyAlignment="1" applyProtection="1">
      <alignment horizontal="center" vertical="center" shrinkToFit="1"/>
      <protection locked="0" hidden="1"/>
    </xf>
    <xf numFmtId="192" fontId="19" fillId="31" borderId="46" xfId="0" applyNumberFormat="1" applyFont="1" applyFill="1" applyBorder="1" applyAlignment="1" applyProtection="1">
      <alignment horizontal="center" vertical="center" shrinkToFit="1"/>
      <protection locked="0" hidden="1"/>
    </xf>
    <xf numFmtId="188" fontId="19" fillId="31" borderId="46" xfId="0" applyNumberFormat="1" applyFont="1" applyFill="1" applyBorder="1" applyAlignment="1" applyProtection="1">
      <alignment horizontal="center" vertical="center" shrinkToFit="1"/>
      <protection locked="0" hidden="1"/>
    </xf>
    <xf numFmtId="189" fontId="19" fillId="31" borderId="46" xfId="0" applyNumberFormat="1" applyFont="1" applyFill="1" applyBorder="1" applyAlignment="1" applyProtection="1">
      <alignment horizontal="center" vertical="center" shrinkToFit="1"/>
      <protection locked="0" hidden="1"/>
    </xf>
    <xf numFmtId="0" fontId="19" fillId="31" borderId="0" xfId="0" applyFont="1" applyFill="1" applyAlignment="1" applyProtection="1">
      <alignment horizontal="right" vertical="center"/>
      <protection locked="0" hidden="1"/>
    </xf>
    <xf numFmtId="0" fontId="19" fillId="31" borderId="46" xfId="0" applyFont="1" applyFill="1" applyBorder="1" applyAlignment="1" applyProtection="1">
      <alignment horizontal="right" vertical="center"/>
      <protection locked="0" hidden="1"/>
    </xf>
    <xf numFmtId="0" fontId="19" fillId="0" borderId="52" xfId="0" applyFont="1" applyBorder="1">
      <alignment vertical="center"/>
    </xf>
    <xf numFmtId="0" fontId="19" fillId="31" borderId="52" xfId="0" applyFont="1" applyFill="1" applyBorder="1" applyAlignment="1" applyProtection="1">
      <alignment horizontal="right" vertical="center"/>
      <protection locked="0" hidden="1"/>
    </xf>
    <xf numFmtId="0" fontId="19" fillId="30" borderId="0" xfId="0" applyFont="1" applyFill="1" applyAlignment="1" applyProtection="1">
      <alignment horizontal="center" vertical="center"/>
      <protection locked="0" hidden="1"/>
    </xf>
    <xf numFmtId="0" fontId="19" fillId="0" borderId="46" xfId="0" applyFont="1" applyBorder="1" applyAlignment="1">
      <alignment horizontal="right" vertical="center"/>
    </xf>
    <xf numFmtId="0" fontId="19" fillId="30" borderId="46"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19" fillId="0" borderId="0" xfId="0" applyFont="1" applyAlignment="1">
      <alignment horizontal="left" vertical="center"/>
    </xf>
    <xf numFmtId="0" fontId="86" fillId="0" borderId="0" xfId="1539" applyFont="1">
      <alignment vertical="center"/>
    </xf>
    <xf numFmtId="0" fontId="85" fillId="0" borderId="0" xfId="1539" applyFont="1" applyAlignment="1">
      <alignment horizontal="center" vertical="center"/>
    </xf>
    <xf numFmtId="49" fontId="56" fillId="0" borderId="0" xfId="1539" applyNumberFormat="1" applyFont="1" applyAlignment="1">
      <alignment horizontal="center" vertical="center"/>
    </xf>
    <xf numFmtId="0" fontId="56" fillId="0" borderId="0" xfId="1539" applyFont="1">
      <alignment vertical="center"/>
    </xf>
    <xf numFmtId="0" fontId="56" fillId="0" borderId="0" xfId="1539" applyFont="1" applyAlignment="1">
      <alignment horizontal="center" vertical="center"/>
    </xf>
    <xf numFmtId="0" fontId="49" fillId="0" borderId="0" xfId="1539" applyFont="1" applyAlignment="1">
      <alignment vertical="center" wrapText="1"/>
    </xf>
    <xf numFmtId="49" fontId="86" fillId="0" borderId="0" xfId="1539" applyNumberFormat="1" applyFont="1" applyAlignment="1">
      <alignment horizontal="right" vertical="center"/>
    </xf>
    <xf numFmtId="0" fontId="86" fillId="40" borderId="0" xfId="1539" applyFont="1" applyFill="1" applyAlignment="1" applyProtection="1">
      <alignment horizontal="center" vertical="center"/>
      <protection locked="0"/>
    </xf>
    <xf numFmtId="0" fontId="86" fillId="0" borderId="0" xfId="1539" applyFont="1" applyAlignment="1">
      <alignment horizontal="left" vertical="center"/>
    </xf>
    <xf numFmtId="0" fontId="86" fillId="0" borderId="0" xfId="1539" applyFont="1" applyAlignment="1">
      <alignment horizontal="left" vertical="center" wrapText="1"/>
    </xf>
    <xf numFmtId="49" fontId="86" fillId="0" borderId="0" xfId="1539" applyNumberFormat="1" applyFont="1" applyAlignment="1">
      <alignment horizontal="center" vertical="center"/>
    </xf>
    <xf numFmtId="0" fontId="87" fillId="0" borderId="0" xfId="1539" applyFont="1">
      <alignment vertical="center"/>
    </xf>
    <xf numFmtId="0" fontId="88" fillId="0" borderId="0" xfId="1539" applyFont="1">
      <alignment vertical="center"/>
    </xf>
    <xf numFmtId="0" fontId="88" fillId="0" borderId="0" xfId="1539" applyFont="1" applyAlignment="1">
      <alignment vertical="center" wrapText="1"/>
    </xf>
    <xf numFmtId="0" fontId="2" fillId="0" borderId="0" xfId="1539">
      <alignment vertical="center"/>
    </xf>
    <xf numFmtId="0" fontId="2" fillId="0" borderId="0" xfId="1539" applyAlignment="1">
      <alignment vertical="center" wrapText="1"/>
    </xf>
    <xf numFmtId="0" fontId="9" fillId="0" borderId="0" xfId="1539" applyFont="1">
      <alignment vertical="center"/>
    </xf>
    <xf numFmtId="0" fontId="9" fillId="0" borderId="11" xfId="1539" applyFont="1" applyBorder="1">
      <alignment vertical="center"/>
    </xf>
    <xf numFmtId="0" fontId="91" fillId="0" borderId="0" xfId="1539" applyFont="1" applyAlignment="1">
      <alignment horizontal="center" vertical="center"/>
    </xf>
    <xf numFmtId="0" fontId="74" fillId="0" borderId="13" xfId="1539" applyFont="1" applyBorder="1" applyAlignment="1">
      <alignment horizontal="center" vertical="center"/>
    </xf>
    <xf numFmtId="0" fontId="74" fillId="0" borderId="0" xfId="1539" applyFont="1" applyAlignment="1">
      <alignment horizontal="center" vertical="center"/>
    </xf>
    <xf numFmtId="0" fontId="91" fillId="0" borderId="15" xfId="1539" applyFont="1" applyBorder="1" applyAlignment="1">
      <alignment horizontal="center" vertical="center"/>
    </xf>
    <xf numFmtId="0" fontId="9" fillId="0" borderId="13" xfId="1539" applyFont="1" applyBorder="1">
      <alignment vertical="center"/>
    </xf>
    <xf numFmtId="0" fontId="2" fillId="0" borderId="0" xfId="1539" applyAlignment="1">
      <alignment horizontal="right" vertical="center"/>
    </xf>
    <xf numFmtId="0" fontId="9" fillId="0" borderId="15" xfId="1539" applyFont="1" applyBorder="1">
      <alignment vertical="center"/>
    </xf>
    <xf numFmtId="0" fontId="9" fillId="0" borderId="13" xfId="1539" applyFont="1" applyBorder="1" applyAlignment="1">
      <alignment horizontal="right" vertical="center"/>
    </xf>
    <xf numFmtId="0" fontId="9" fillId="0" borderId="0" xfId="1539" applyFont="1" applyAlignment="1">
      <alignment horizontal="right" vertical="center"/>
    </xf>
    <xf numFmtId="0" fontId="9" fillId="0" borderId="46" xfId="1539" applyFont="1" applyBorder="1">
      <alignment vertical="center"/>
    </xf>
    <xf numFmtId="0" fontId="9" fillId="0" borderId="22" xfId="1539" applyFont="1" applyBorder="1">
      <alignment vertical="center"/>
    </xf>
    <xf numFmtId="0" fontId="44" fillId="0" borderId="13" xfId="1539" applyFont="1" applyBorder="1" applyAlignment="1">
      <alignment horizontal="center" vertical="center"/>
    </xf>
    <xf numFmtId="0" fontId="44" fillId="0" borderId="0" xfId="1539" applyFont="1" applyAlignment="1">
      <alignment horizontal="center" vertical="center"/>
    </xf>
    <xf numFmtId="0" fontId="9" fillId="0" borderId="0" xfId="1539" applyFont="1" applyAlignment="1">
      <alignment horizontal="center" vertical="center"/>
    </xf>
    <xf numFmtId="0" fontId="9" fillId="0" borderId="15" xfId="1539" applyFont="1" applyBorder="1" applyAlignment="1">
      <alignment horizontal="center" vertical="center"/>
    </xf>
    <xf numFmtId="0" fontId="74" fillId="0" borderId="15" xfId="1539" applyFont="1" applyBorder="1" applyAlignment="1">
      <alignment horizontal="center" vertical="center"/>
    </xf>
    <xf numFmtId="0" fontId="15" fillId="0" borderId="0" xfId="0" applyFont="1" applyAlignment="1">
      <alignment horizontal="right" vertical="center"/>
    </xf>
    <xf numFmtId="0" fontId="15" fillId="0" borderId="0" xfId="0" applyFont="1">
      <alignment vertical="center"/>
    </xf>
    <xf numFmtId="191" fontId="19" fillId="0" borderId="0" xfId="0" applyNumberFormat="1" applyFont="1">
      <alignment vertical="center"/>
    </xf>
    <xf numFmtId="191" fontId="15" fillId="0" borderId="0" xfId="0" applyNumberFormat="1" applyFont="1">
      <alignment vertical="center"/>
    </xf>
    <xf numFmtId="193" fontId="15" fillId="31" borderId="0" xfId="0" applyNumberFormat="1" applyFont="1" applyFill="1" applyAlignment="1" applyProtection="1">
      <alignment horizontal="center" vertical="center" shrinkToFit="1"/>
      <protection locked="0"/>
    </xf>
    <xf numFmtId="188" fontId="15" fillId="31" borderId="0" xfId="0" applyNumberFormat="1" applyFont="1" applyFill="1" applyAlignment="1" applyProtection="1">
      <alignment horizontal="center" vertical="center" shrinkToFit="1"/>
      <protection locked="0"/>
    </xf>
    <xf numFmtId="189" fontId="15" fillId="31" borderId="0" xfId="0" applyNumberFormat="1" applyFont="1" applyFill="1" applyAlignment="1" applyProtection="1">
      <alignment horizontal="center" vertical="center" shrinkToFit="1"/>
      <protection locked="0"/>
    </xf>
    <xf numFmtId="0" fontId="72" fillId="0" borderId="0" xfId="0" applyFont="1" applyAlignment="1">
      <alignment vertical="top"/>
    </xf>
    <xf numFmtId="177" fontId="8" fillId="0" borderId="0" xfId="0" applyNumberFormat="1" applyFont="1" applyAlignment="1">
      <alignment horizontal="right" vertical="center" shrinkToFit="1"/>
    </xf>
    <xf numFmtId="0" fontId="8" fillId="0" borderId="0" xfId="0" applyFont="1" applyAlignment="1">
      <alignment horizontal="right" vertical="center" shrinkToFit="1"/>
    </xf>
    <xf numFmtId="0" fontId="72" fillId="0" borderId="46" xfId="0" applyFont="1" applyBorder="1" applyAlignment="1">
      <alignment vertical="top"/>
    </xf>
    <xf numFmtId="184" fontId="8" fillId="39" borderId="0" xfId="0" applyNumberFormat="1" applyFont="1" applyFill="1" applyAlignment="1">
      <alignment horizontal="center" vertical="center" shrinkToFit="1"/>
    </xf>
    <xf numFmtId="184" fontId="8" fillId="39" borderId="46" xfId="0" applyNumberFormat="1" applyFont="1" applyFill="1" applyBorder="1" applyAlignment="1">
      <alignment horizontal="center" vertical="center" shrinkToFit="1"/>
    </xf>
    <xf numFmtId="0" fontId="8" fillId="0" borderId="46" xfId="0" applyFont="1" applyBorder="1" applyAlignment="1">
      <alignment vertical="top" wrapText="1"/>
    </xf>
    <xf numFmtId="0" fontId="8" fillId="39" borderId="46" xfId="0" applyFont="1" applyFill="1" applyBorder="1" applyAlignment="1">
      <alignment horizontal="center" vertical="top" wrapText="1"/>
    </xf>
    <xf numFmtId="0" fontId="8" fillId="39" borderId="0" xfId="0" applyFont="1" applyFill="1" applyAlignment="1">
      <alignment horizontal="center" vertical="top" wrapText="1"/>
    </xf>
    <xf numFmtId="0" fontId="22" fillId="0" borderId="0" xfId="1541" applyFont="1" applyAlignment="1">
      <alignment horizontal="center" vertical="center"/>
    </xf>
    <xf numFmtId="0" fontId="4" fillId="0" borderId="0" xfId="1541">
      <alignment vertical="center"/>
    </xf>
    <xf numFmtId="0" fontId="18" fillId="0" borderId="0" xfId="1541" applyFont="1" applyAlignment="1">
      <alignment horizontal="left" vertical="center"/>
    </xf>
    <xf numFmtId="0" fontId="18" fillId="0" borderId="13" xfId="1541" applyFont="1" applyBorder="1">
      <alignment vertical="center"/>
    </xf>
    <xf numFmtId="0" fontId="18" fillId="0" borderId="0" xfId="1541" applyFont="1">
      <alignment vertical="center"/>
    </xf>
    <xf numFmtId="0" fontId="18" fillId="0" borderId="15" xfId="1541" applyFont="1" applyBorder="1">
      <alignment vertical="center"/>
    </xf>
    <xf numFmtId="0" fontId="18" fillId="0" borderId="0" xfId="1541" applyFont="1" applyAlignment="1" applyProtection="1">
      <alignment vertical="center" shrinkToFit="1"/>
      <protection locked="0"/>
    </xf>
    <xf numFmtId="0" fontId="18" fillId="0" borderId="52" xfId="1541" applyFont="1" applyBorder="1" applyAlignment="1">
      <alignment horizontal="left" vertical="center"/>
    </xf>
    <xf numFmtId="0" fontId="18" fillId="0" borderId="46" xfId="1541" applyFont="1" applyBorder="1" applyAlignment="1">
      <alignment horizontal="left" vertical="center"/>
    </xf>
    <xf numFmtId="0" fontId="92" fillId="0" borderId="0" xfId="1541" applyFont="1">
      <alignment vertical="center"/>
    </xf>
    <xf numFmtId="0" fontId="18" fillId="0" borderId="32" xfId="1541" applyFont="1" applyBorder="1" applyAlignment="1">
      <alignment horizontal="left" vertical="center"/>
    </xf>
    <xf numFmtId="0" fontId="18" fillId="37" borderId="46" xfId="1541" applyFont="1" applyFill="1" applyBorder="1" applyAlignment="1" applyProtection="1">
      <alignment horizontal="center" vertical="center" wrapText="1"/>
      <protection locked="0"/>
    </xf>
    <xf numFmtId="0" fontId="18" fillId="0" borderId="46" xfId="1541" applyFont="1" applyBorder="1" applyAlignment="1" applyProtection="1">
      <alignment horizontal="center" vertical="center" wrapText="1"/>
      <protection locked="0"/>
    </xf>
    <xf numFmtId="0" fontId="18" fillId="0" borderId="0" xfId="1541" applyFont="1" applyAlignment="1" applyProtection="1">
      <alignment horizontal="center" vertical="center" wrapText="1"/>
      <protection locked="0"/>
    </xf>
    <xf numFmtId="0" fontId="18" fillId="0" borderId="52" xfId="1541" applyFont="1" applyBorder="1" applyAlignment="1">
      <alignment horizontal="center" vertical="center"/>
    </xf>
    <xf numFmtId="0" fontId="18" fillId="0" borderId="32" xfId="1541" applyFont="1" applyBorder="1" applyAlignment="1">
      <alignment horizontal="center" vertical="center"/>
    </xf>
    <xf numFmtId="0" fontId="18" fillId="0" borderId="52" xfId="1541" applyFont="1" applyBorder="1">
      <alignment vertical="center"/>
    </xf>
    <xf numFmtId="0" fontId="18" fillId="0" borderId="32" xfId="1541" applyFont="1" applyBorder="1">
      <alignment vertical="center"/>
    </xf>
    <xf numFmtId="0" fontId="18" fillId="0" borderId="14" xfId="1541" applyFont="1" applyBorder="1">
      <alignment vertical="center"/>
    </xf>
    <xf numFmtId="0" fontId="18" fillId="0" borderId="46" xfId="1541" applyFont="1" applyBorder="1">
      <alignment vertical="center"/>
    </xf>
    <xf numFmtId="0" fontId="18" fillId="0" borderId="22" xfId="1541" applyFont="1" applyBorder="1">
      <alignment vertical="center"/>
    </xf>
    <xf numFmtId="0" fontId="18" fillId="0" borderId="0" xfId="1541" applyFont="1" applyAlignment="1">
      <alignment horizontal="center" vertical="center"/>
    </xf>
    <xf numFmtId="0" fontId="18" fillId="0" borderId="46" xfId="1541" applyFont="1" applyBorder="1" applyAlignment="1">
      <alignment horizontal="center" vertical="center"/>
    </xf>
    <xf numFmtId="0" fontId="18" fillId="0" borderId="11" xfId="1541" applyFont="1" applyBorder="1" applyAlignment="1">
      <alignment horizontal="center" vertical="center"/>
    </xf>
    <xf numFmtId="0" fontId="18" fillId="0" borderId="21" xfId="1541" applyFont="1" applyBorder="1">
      <alignment vertical="center"/>
    </xf>
    <xf numFmtId="0" fontId="18" fillId="0" borderId="21" xfId="1541" applyFont="1" applyBorder="1" applyAlignment="1">
      <alignment vertical="center" shrinkToFit="1"/>
    </xf>
    <xf numFmtId="0" fontId="19" fillId="30" borderId="11" xfId="1541" applyFont="1" applyFill="1" applyBorder="1" applyAlignment="1" applyProtection="1">
      <alignment horizontal="center" vertical="center"/>
      <protection locked="0" hidden="1"/>
    </xf>
    <xf numFmtId="0" fontId="18" fillId="0" borderId="14" xfId="1541" applyFont="1" applyBorder="1" applyAlignment="1">
      <alignment horizontal="left" vertical="center"/>
    </xf>
    <xf numFmtId="0" fontId="19" fillId="30" borderId="14" xfId="1541" applyFont="1" applyFill="1" applyBorder="1" applyAlignment="1" applyProtection="1">
      <alignment horizontal="center" vertical="center"/>
      <protection locked="0" hidden="1"/>
    </xf>
    <xf numFmtId="0" fontId="4" fillId="0" borderId="46" xfId="1541" applyBorder="1">
      <alignment vertical="center"/>
    </xf>
    <xf numFmtId="0" fontId="19" fillId="30" borderId="46" xfId="1541" applyFont="1" applyFill="1" applyBorder="1" applyAlignment="1" applyProtection="1">
      <alignment horizontal="center" vertical="center"/>
      <protection locked="0" hidden="1"/>
    </xf>
    <xf numFmtId="0" fontId="18" fillId="0" borderId="46" xfId="1541" applyFont="1" applyBorder="1" applyAlignment="1">
      <alignment vertical="center" shrinkToFit="1"/>
    </xf>
    <xf numFmtId="0" fontId="18" fillId="0" borderId="11" xfId="1541" applyFont="1" applyBorder="1">
      <alignment vertical="center"/>
    </xf>
    <xf numFmtId="0" fontId="18" fillId="0" borderId="46" xfId="1541" applyFont="1" applyBorder="1" applyAlignment="1">
      <alignment horizontal="left" vertical="center" wrapText="1"/>
    </xf>
    <xf numFmtId="0" fontId="4" fillId="39" borderId="11" xfId="1541" applyFill="1" applyBorder="1">
      <alignment vertical="center"/>
    </xf>
    <xf numFmtId="0" fontId="4" fillId="39" borderId="13" xfId="1541" applyFill="1" applyBorder="1">
      <alignment vertical="center"/>
    </xf>
    <xf numFmtId="0" fontId="4" fillId="39" borderId="0" xfId="1541" applyFill="1">
      <alignment vertical="center"/>
    </xf>
    <xf numFmtId="0" fontId="4" fillId="39" borderId="14" xfId="1541" applyFill="1" applyBorder="1">
      <alignment vertical="center"/>
    </xf>
    <xf numFmtId="0" fontId="4" fillId="0" borderId="15" xfId="1541" applyBorder="1">
      <alignment vertical="center"/>
    </xf>
    <xf numFmtId="0" fontId="18" fillId="39" borderId="21" xfId="1541" applyFont="1" applyFill="1" applyBorder="1">
      <alignment vertical="center"/>
    </xf>
    <xf numFmtId="0" fontId="18" fillId="39" borderId="52" xfId="1541" applyFont="1" applyFill="1" applyBorder="1">
      <alignment vertical="center"/>
    </xf>
    <xf numFmtId="0" fontId="18" fillId="0" borderId="15" xfId="1541" applyFont="1" applyBorder="1" applyAlignment="1">
      <alignment horizontal="left" vertical="center"/>
    </xf>
    <xf numFmtId="0" fontId="18" fillId="0" borderId="21" xfId="1541" applyFont="1" applyBorder="1" applyAlignment="1">
      <alignment horizontal="left" vertical="center" wrapText="1"/>
    </xf>
    <xf numFmtId="0" fontId="18" fillId="0" borderId="52" xfId="1541" applyFont="1" applyBorder="1" applyAlignment="1">
      <alignment horizontal="left" vertical="center" wrapText="1"/>
    </xf>
    <xf numFmtId="0" fontId="18" fillId="0" borderId="0" xfId="1541" applyFont="1" applyAlignment="1">
      <alignment horizontal="left" vertical="center" wrapText="1"/>
    </xf>
    <xf numFmtId="0" fontId="18" fillId="0" borderId="15" xfId="1541" applyFont="1" applyBorder="1" applyAlignment="1">
      <alignment horizontal="left" vertical="center" wrapText="1"/>
    </xf>
    <xf numFmtId="0" fontId="19" fillId="30" borderId="21" xfId="0" applyFont="1" applyFill="1" applyBorder="1" applyAlignment="1" applyProtection="1">
      <alignment horizontal="center" vertical="center"/>
      <protection locked="0" hidden="1"/>
    </xf>
    <xf numFmtId="0" fontId="18" fillId="0" borderId="0" xfId="1541" applyFont="1" applyAlignment="1">
      <alignment horizontal="right" vertical="center" wrapText="1"/>
    </xf>
    <xf numFmtId="0" fontId="18" fillId="0" borderId="0" xfId="1541" applyFont="1" applyAlignment="1">
      <alignment horizontal="left" vertical="center" shrinkToFit="1"/>
    </xf>
    <xf numFmtId="0" fontId="18" fillId="0" borderId="15" xfId="1541" applyFont="1" applyBorder="1" applyAlignment="1">
      <alignment horizontal="left" vertical="center" shrinkToFit="1"/>
    </xf>
    <xf numFmtId="0" fontId="18" fillId="0" borderId="72" xfId="1541" applyFont="1" applyBorder="1">
      <alignment vertical="center"/>
    </xf>
    <xf numFmtId="0" fontId="18" fillId="0" borderId="73" xfId="1541" applyFont="1" applyBorder="1">
      <alignment vertical="center"/>
    </xf>
    <xf numFmtId="0" fontId="18" fillId="0" borderId="74" xfId="1541" applyFont="1" applyBorder="1">
      <alignment vertical="center"/>
    </xf>
    <xf numFmtId="0" fontId="18" fillId="0" borderId="75" xfId="1541" applyFont="1" applyBorder="1">
      <alignment vertical="center"/>
    </xf>
    <xf numFmtId="181" fontId="18" fillId="0" borderId="0" xfId="1541" applyNumberFormat="1" applyFont="1" applyAlignment="1" applyProtection="1">
      <alignment horizontal="center" vertical="center" shrinkToFit="1"/>
      <protection locked="0"/>
    </xf>
    <xf numFmtId="0" fontId="18" fillId="0" borderId="76" xfId="1541" applyFont="1" applyBorder="1">
      <alignment vertical="center"/>
    </xf>
    <xf numFmtId="0" fontId="18" fillId="0" borderId="77" xfId="1541" applyFont="1" applyBorder="1">
      <alignment vertical="center"/>
    </xf>
    <xf numFmtId="0" fontId="18" fillId="0" borderId="12" xfId="1541" applyFont="1" applyBorder="1" applyAlignment="1">
      <alignment horizontal="left" vertical="center" wrapText="1"/>
    </xf>
    <xf numFmtId="183" fontId="18" fillId="0" borderId="0" xfId="1541" applyNumberFormat="1" applyFont="1" applyAlignment="1" applyProtection="1">
      <alignment horizontal="center" vertical="center" shrinkToFit="1"/>
      <protection locked="0"/>
    </xf>
    <xf numFmtId="0" fontId="18" fillId="0" borderId="78" xfId="1541" applyFont="1" applyBorder="1">
      <alignment vertical="center"/>
    </xf>
    <xf numFmtId="0" fontId="18" fillId="0" borderId="79" xfId="1541" applyFont="1" applyBorder="1">
      <alignment vertical="center"/>
    </xf>
    <xf numFmtId="0" fontId="18" fillId="0" borderId="49" xfId="1541" applyFont="1" applyBorder="1">
      <alignment vertical="center"/>
    </xf>
    <xf numFmtId="0" fontId="18" fillId="0" borderId="80" xfId="1541" applyFont="1" applyBorder="1">
      <alignment vertical="center"/>
    </xf>
    <xf numFmtId="0" fontId="19" fillId="30" borderId="14" xfId="0" applyFont="1" applyFill="1" applyBorder="1" applyAlignment="1" applyProtection="1">
      <alignment horizontal="center" vertical="center"/>
      <protection locked="0" hidden="1"/>
    </xf>
    <xf numFmtId="181" fontId="18" fillId="0" borderId="46" xfId="1541" applyNumberFormat="1" applyFont="1" applyBorder="1" applyAlignment="1" applyProtection="1">
      <alignment horizontal="center" vertical="center" shrinkToFit="1"/>
      <protection locked="0"/>
    </xf>
    <xf numFmtId="181" fontId="18" fillId="0" borderId="46" xfId="1541" applyNumberFormat="1" applyFont="1" applyBorder="1" applyAlignment="1" applyProtection="1">
      <alignment horizontal="center" vertical="center"/>
      <protection locked="0"/>
    </xf>
    <xf numFmtId="183" fontId="18" fillId="0" borderId="21" xfId="1541" applyNumberFormat="1" applyFont="1" applyBorder="1" applyAlignment="1" applyProtection="1">
      <alignment vertical="center" shrinkToFit="1"/>
      <protection locked="0"/>
    </xf>
    <xf numFmtId="183" fontId="18" fillId="0" borderId="0" xfId="1541" applyNumberFormat="1" applyFont="1" applyAlignment="1" applyProtection="1">
      <alignment vertical="center" shrinkToFit="1"/>
      <protection locked="0"/>
    </xf>
    <xf numFmtId="195" fontId="18" fillId="0" borderId="0" xfId="1541" applyNumberFormat="1" applyFont="1" applyProtection="1">
      <alignment vertical="center"/>
      <protection locked="0"/>
    </xf>
    <xf numFmtId="0" fontId="19" fillId="30" borderId="11" xfId="0" applyFont="1" applyFill="1" applyBorder="1" applyAlignment="1" applyProtection="1">
      <alignment horizontal="center" vertical="center"/>
      <protection locked="0" hidden="1"/>
    </xf>
    <xf numFmtId="0" fontId="4" fillId="0" borderId="52" xfId="1541" applyBorder="1">
      <alignment vertical="center"/>
    </xf>
    <xf numFmtId="0" fontId="19" fillId="30" borderId="73" xfId="0" applyFont="1" applyFill="1" applyBorder="1" applyAlignment="1" applyProtection="1">
      <alignment horizontal="center" vertical="center"/>
      <protection locked="0" hidden="1"/>
    </xf>
    <xf numFmtId="0" fontId="18" fillId="0" borderId="81" xfId="1541" applyFont="1" applyBorder="1">
      <alignment vertical="center"/>
    </xf>
    <xf numFmtId="0" fontId="19" fillId="30" borderId="52" xfId="0" applyFont="1" applyFill="1" applyBorder="1" applyAlignment="1" applyProtection="1">
      <alignment horizontal="center" vertical="center"/>
      <protection locked="0" hidden="1"/>
    </xf>
    <xf numFmtId="0" fontId="4" fillId="0" borderId="32" xfId="1541" applyBorder="1">
      <alignment vertical="center"/>
    </xf>
    <xf numFmtId="181" fontId="18" fillId="0" borderId="0" xfId="1541" applyNumberFormat="1" applyFont="1" applyAlignment="1" applyProtection="1">
      <alignment vertical="center" shrinkToFit="1"/>
      <protection locked="0"/>
    </xf>
    <xf numFmtId="0" fontId="18" fillId="0" borderId="13" xfId="1541" applyFont="1" applyBorder="1" applyAlignment="1">
      <alignment vertical="center" shrinkToFit="1"/>
    </xf>
    <xf numFmtId="177" fontId="18" fillId="0" borderId="46" xfId="1541" applyNumberFormat="1" applyFont="1" applyBorder="1" applyAlignment="1" applyProtection="1">
      <alignment horizontal="center" vertical="center" shrinkToFit="1"/>
      <protection locked="0"/>
    </xf>
    <xf numFmtId="0" fontId="0" fillId="39" borderId="0" xfId="0" applyFill="1">
      <alignment vertical="center"/>
    </xf>
    <xf numFmtId="0" fontId="7" fillId="0" borderId="0" xfId="1542" applyFont="1" applyAlignment="1">
      <alignment horizontal="center" vertical="center"/>
    </xf>
    <xf numFmtId="181" fontId="7" fillId="0" borderId="0" xfId="1542" applyNumberFormat="1" applyFont="1" applyAlignment="1">
      <alignment horizontal="center" vertical="center"/>
    </xf>
    <xf numFmtId="183" fontId="7" fillId="0" borderId="0" xfId="1542" applyNumberFormat="1" applyFont="1" applyAlignment="1">
      <alignment horizontal="center" vertical="center"/>
    </xf>
    <xf numFmtId="177" fontId="7" fillId="0" borderId="0" xfId="1542" applyNumberFormat="1" applyFont="1" applyAlignment="1">
      <alignment horizontal="center" vertical="center"/>
    </xf>
    <xf numFmtId="0" fontId="0" fillId="0" borderId="0" xfId="1542" applyFont="1" applyAlignment="1">
      <alignment horizontal="center"/>
    </xf>
    <xf numFmtId="0" fontId="0" fillId="0" borderId="46" xfId="1542" applyFont="1" applyBorder="1"/>
    <xf numFmtId="0" fontId="0" fillId="0" borderId="0" xfId="1542" applyFont="1" applyAlignment="1">
      <alignment horizontal="center" vertical="center"/>
    </xf>
    <xf numFmtId="177" fontId="0" fillId="0" borderId="0" xfId="1542" applyNumberFormat="1" applyFont="1" applyAlignment="1">
      <alignment horizontal="center" vertical="center"/>
    </xf>
    <xf numFmtId="0" fontId="0" fillId="35" borderId="12" xfId="1542" applyFont="1" applyFill="1" applyBorder="1" applyAlignment="1">
      <alignment horizontal="center" vertical="center"/>
    </xf>
    <xf numFmtId="0" fontId="0" fillId="42" borderId="12" xfId="1542" applyFont="1" applyFill="1" applyBorder="1" applyAlignment="1">
      <alignment horizontal="center" vertical="center"/>
    </xf>
    <xf numFmtId="49" fontId="0" fillId="35" borderId="12" xfId="1542" applyNumberFormat="1" applyFont="1" applyFill="1" applyBorder="1" applyAlignment="1">
      <alignment horizontal="center" vertical="center"/>
    </xf>
    <xf numFmtId="49" fontId="0" fillId="0" borderId="80" xfId="1542" applyNumberFormat="1" applyFont="1" applyBorder="1" applyAlignment="1">
      <alignment horizontal="center" vertical="center"/>
    </xf>
    <xf numFmtId="49" fontId="0" fillId="35" borderId="32" xfId="1542" applyNumberFormat="1" applyFont="1" applyFill="1" applyBorder="1" applyAlignment="1">
      <alignment horizontal="center" vertical="center"/>
    </xf>
    <xf numFmtId="0" fontId="0" fillId="35" borderId="49" xfId="1542" applyFont="1" applyFill="1" applyBorder="1" applyAlignment="1">
      <alignment horizontal="center" vertical="center"/>
    </xf>
    <xf numFmtId="0" fontId="0" fillId="35" borderId="22" xfId="1542" applyFont="1" applyFill="1" applyBorder="1" applyAlignment="1">
      <alignment horizontal="center" vertical="center"/>
    </xf>
    <xf numFmtId="0" fontId="0" fillId="35" borderId="32" xfId="1542" applyFont="1" applyFill="1" applyBorder="1" applyAlignment="1">
      <alignment horizontal="center" vertical="center"/>
    </xf>
    <xf numFmtId="0" fontId="0" fillId="35" borderId="82" xfId="1542" applyFont="1" applyFill="1" applyBorder="1" applyAlignment="1">
      <alignment horizontal="center" vertical="center"/>
    </xf>
    <xf numFmtId="0" fontId="0" fillId="35" borderId="83" xfId="1542" applyFont="1" applyFill="1" applyBorder="1" applyAlignment="1">
      <alignment horizontal="center" vertical="center"/>
    </xf>
    <xf numFmtId="49" fontId="0" fillId="35" borderId="80" xfId="1542" applyNumberFormat="1" applyFont="1" applyFill="1" applyBorder="1" applyAlignment="1">
      <alignment horizontal="center" vertical="center"/>
    </xf>
    <xf numFmtId="0" fontId="0" fillId="35" borderId="80" xfId="1542" applyFont="1" applyFill="1" applyBorder="1" applyAlignment="1">
      <alignment horizontal="center" vertical="center"/>
    </xf>
    <xf numFmtId="0" fontId="0" fillId="0" borderId="84" xfId="1542" applyFont="1" applyBorder="1" applyAlignment="1">
      <alignment horizontal="center" vertical="center"/>
    </xf>
    <xf numFmtId="181" fontId="0" fillId="0" borderId="84" xfId="1542" applyNumberFormat="1" applyFont="1" applyBorder="1" applyAlignment="1">
      <alignment vertical="center"/>
    </xf>
    <xf numFmtId="181" fontId="0" fillId="0" borderId="84" xfId="1542" applyNumberFormat="1" applyFont="1" applyBorder="1" applyAlignment="1">
      <alignment horizontal="center" vertical="center"/>
    </xf>
    <xf numFmtId="183" fontId="0" fillId="0" borderId="85" xfId="1542" applyNumberFormat="1" applyFont="1" applyBorder="1" applyAlignment="1">
      <alignment horizontal="center" vertical="center"/>
    </xf>
    <xf numFmtId="177" fontId="0" fillId="0" borderId="84" xfId="1542" applyNumberFormat="1" applyFont="1" applyBorder="1" applyAlignment="1">
      <alignment horizontal="center" vertical="center"/>
    </xf>
    <xf numFmtId="0" fontId="0" fillId="0" borderId="85" xfId="1542" applyFont="1" applyBorder="1" applyAlignment="1">
      <alignment horizontal="center" vertical="center"/>
    </xf>
    <xf numFmtId="0" fontId="0" fillId="0" borderId="86" xfId="1542" applyFont="1" applyBorder="1" applyAlignment="1">
      <alignment horizontal="center" vertical="center"/>
    </xf>
    <xf numFmtId="0" fontId="0" fillId="0" borderId="13" xfId="1542" applyFont="1" applyBorder="1" applyAlignment="1">
      <alignment horizontal="center" vertical="center"/>
    </xf>
    <xf numFmtId="0" fontId="0" fillId="0" borderId="81" xfId="1542" applyFont="1" applyBorder="1" applyAlignment="1">
      <alignment horizontal="center" vertical="center"/>
    </xf>
    <xf numFmtId="0" fontId="0" fillId="0" borderId="15" xfId="1542" applyFont="1" applyBorder="1" applyAlignment="1">
      <alignment horizontal="center" vertical="center"/>
    </xf>
    <xf numFmtId="181" fontId="0" fillId="0" borderId="81" xfId="1542" applyNumberFormat="1" applyFont="1" applyBorder="1" applyAlignment="1">
      <alignment horizontal="center" vertical="center"/>
    </xf>
    <xf numFmtId="177" fontId="0" fillId="0" borderId="49" xfId="1542" applyNumberFormat="1" applyFont="1" applyBorder="1" applyAlignment="1">
      <alignment horizontal="center" vertical="center"/>
    </xf>
    <xf numFmtId="181" fontId="0" fillId="0" borderId="0" xfId="1542" applyNumberFormat="1" applyFont="1" applyAlignment="1">
      <alignment horizontal="center" vertical="center"/>
    </xf>
    <xf numFmtId="0" fontId="0" fillId="0" borderId="49" xfId="1542" applyFont="1" applyBorder="1" applyAlignment="1">
      <alignment horizontal="center" vertical="center"/>
    </xf>
    <xf numFmtId="181" fontId="0" fillId="0" borderId="49" xfId="1542" applyNumberFormat="1" applyFont="1" applyBorder="1" applyAlignment="1">
      <alignment horizontal="center" vertical="center"/>
    </xf>
    <xf numFmtId="0" fontId="0" fillId="0" borderId="11" xfId="1542" applyFont="1" applyBorder="1" applyAlignment="1">
      <alignment horizontal="center" vertical="center"/>
    </xf>
    <xf numFmtId="196" fontId="0" fillId="0" borderId="0" xfId="1542" applyNumberFormat="1" applyFont="1" applyAlignment="1">
      <alignment horizontal="center" vertical="center"/>
    </xf>
    <xf numFmtId="179" fontId="0" fillId="0" borderId="0" xfId="1542" applyNumberFormat="1" applyFont="1" applyAlignment="1">
      <alignment horizontal="center" vertical="center"/>
    </xf>
    <xf numFmtId="197" fontId="0" fillId="0" borderId="0" xfId="1542" applyNumberFormat="1" applyFont="1" applyAlignment="1">
      <alignment horizontal="center" vertical="center"/>
    </xf>
    <xf numFmtId="0" fontId="7" fillId="43" borderId="0" xfId="1542" applyFont="1" applyFill="1" applyAlignment="1">
      <alignment horizontal="center" vertical="center"/>
    </xf>
    <xf numFmtId="0" fontId="0" fillId="43" borderId="0" xfId="1542" applyFont="1" applyFill="1" applyAlignment="1">
      <alignment horizontal="center" vertical="center"/>
    </xf>
    <xf numFmtId="0" fontId="0" fillId="43" borderId="0" xfId="1542" applyFont="1" applyFill="1" applyAlignment="1">
      <alignment vertical="center"/>
    </xf>
    <xf numFmtId="0" fontId="0" fillId="43" borderId="0" xfId="1542" applyFont="1" applyFill="1" applyAlignment="1">
      <alignment horizontal="left" vertical="center"/>
    </xf>
    <xf numFmtId="196" fontId="0" fillId="43" borderId="0" xfId="1542" applyNumberFormat="1" applyFont="1" applyFill="1" applyAlignment="1">
      <alignment horizontal="center" vertical="center"/>
    </xf>
    <xf numFmtId="179" fontId="0" fillId="43" borderId="0" xfId="1542" applyNumberFormat="1" applyFont="1" applyFill="1" applyAlignment="1">
      <alignment horizontal="center" vertical="center"/>
    </xf>
    <xf numFmtId="197" fontId="0" fillId="43" borderId="0" xfId="1542" applyNumberFormat="1" applyFont="1" applyFill="1" applyAlignment="1">
      <alignment horizontal="center" vertical="center"/>
    </xf>
    <xf numFmtId="196" fontId="0" fillId="35" borderId="12" xfId="1542" applyNumberFormat="1" applyFont="1" applyFill="1" applyBorder="1" applyAlignment="1">
      <alignment horizontal="center" vertical="center"/>
    </xf>
    <xf numFmtId="196" fontId="0" fillId="35" borderId="32" xfId="1542" applyNumberFormat="1" applyFont="1" applyFill="1" applyBorder="1" applyAlignment="1">
      <alignment horizontal="center" vertical="center"/>
    </xf>
    <xf numFmtId="179" fontId="0" fillId="42" borderId="21" xfId="1542" applyNumberFormat="1" applyFont="1" applyFill="1" applyBorder="1" applyAlignment="1">
      <alignment horizontal="center" vertical="center"/>
    </xf>
    <xf numFmtId="196" fontId="0" fillId="35" borderId="80" xfId="1542" applyNumberFormat="1" applyFont="1" applyFill="1" applyBorder="1" applyAlignment="1">
      <alignment horizontal="center" vertical="center"/>
    </xf>
    <xf numFmtId="197" fontId="0" fillId="35" borderId="12" xfId="1542" applyNumberFormat="1" applyFont="1" applyFill="1" applyBorder="1" applyAlignment="1">
      <alignment horizontal="center" vertical="center"/>
    </xf>
    <xf numFmtId="179" fontId="0" fillId="0" borderId="46" xfId="1542" applyNumberFormat="1" applyFont="1" applyBorder="1" applyAlignment="1">
      <alignment horizontal="center" vertical="center"/>
    </xf>
    <xf numFmtId="197" fontId="0" fillId="0" borderId="80" xfId="1542" applyNumberFormat="1" applyFont="1" applyBorder="1" applyAlignment="1">
      <alignment horizontal="center" vertical="center"/>
    </xf>
    <xf numFmtId="197" fontId="0" fillId="35" borderId="32" xfId="1542" applyNumberFormat="1" applyFont="1" applyFill="1" applyBorder="1" applyAlignment="1">
      <alignment horizontal="center" vertical="center"/>
    </xf>
    <xf numFmtId="179" fontId="0" fillId="35" borderId="83" xfId="1542" applyNumberFormat="1" applyFont="1" applyFill="1" applyBorder="1" applyAlignment="1">
      <alignment horizontal="center" vertical="center"/>
    </xf>
    <xf numFmtId="179" fontId="0" fillId="35" borderId="22" xfId="1542" applyNumberFormat="1" applyFont="1" applyFill="1" applyBorder="1" applyAlignment="1">
      <alignment horizontal="center" vertical="center"/>
    </xf>
    <xf numFmtId="0" fontId="0" fillId="0" borderId="84" xfId="1542" applyFont="1" applyBorder="1" applyAlignment="1">
      <alignment horizontal="center" vertical="center" wrapText="1"/>
    </xf>
    <xf numFmtId="0" fontId="0" fillId="0" borderId="87" xfId="1542" applyFont="1" applyBorder="1" applyAlignment="1">
      <alignment horizontal="center" vertical="center"/>
    </xf>
    <xf numFmtId="0" fontId="0" fillId="0" borderId="81" xfId="1542" applyFont="1" applyBorder="1" applyAlignment="1">
      <alignment horizontal="center" vertical="center" wrapText="1"/>
    </xf>
    <xf numFmtId="0" fontId="0" fillId="0" borderId="0" xfId="1542" applyFont="1" applyAlignment="1">
      <alignment horizontal="center" vertical="center" wrapText="1"/>
    </xf>
    <xf numFmtId="0" fontId="0" fillId="0" borderId="46" xfId="1542" applyFont="1" applyBorder="1" applyAlignment="1">
      <alignment horizontal="right" vertical="center"/>
    </xf>
    <xf numFmtId="0" fontId="0" fillId="0" borderId="0" xfId="1542" applyFont="1" applyAlignment="1">
      <alignment horizontal="left" vertical="center"/>
    </xf>
    <xf numFmtId="183" fontId="0" fillId="0" borderId="0" xfId="1542" applyNumberFormat="1" applyFont="1" applyAlignment="1">
      <alignment horizontal="center" vertical="center"/>
    </xf>
    <xf numFmtId="0" fontId="0" fillId="0" borderId="46" xfId="1542" applyFont="1" applyBorder="1" applyAlignment="1">
      <alignment vertical="center"/>
    </xf>
    <xf numFmtId="0" fontId="0" fillId="0" borderId="0" xfId="1542" applyFont="1" applyAlignment="1">
      <alignment vertical="center"/>
    </xf>
    <xf numFmtId="0" fontId="96" fillId="0" borderId="0" xfId="1543" applyAlignment="1">
      <alignment horizontal="left" vertical="top"/>
    </xf>
    <xf numFmtId="0" fontId="96" fillId="0" borderId="88" xfId="1543" applyBorder="1" applyAlignment="1">
      <alignment horizontal="left" wrapText="1"/>
    </xf>
    <xf numFmtId="0" fontId="97" fillId="0" borderId="0" xfId="1543" applyFont="1" applyAlignment="1">
      <alignment horizontal="left" vertical="top" wrapText="1" indent="1"/>
    </xf>
    <xf numFmtId="0" fontId="97" fillId="0" borderId="89" xfId="1543" applyFont="1" applyBorder="1" applyAlignment="1">
      <alignment horizontal="left" vertical="top" wrapText="1" indent="1"/>
    </xf>
    <xf numFmtId="0" fontId="96" fillId="0" borderId="90" xfId="1543" applyBorder="1" applyAlignment="1">
      <alignment horizontal="left" wrapText="1"/>
    </xf>
    <xf numFmtId="0" fontId="96" fillId="0" borderId="91" xfId="1543" applyBorder="1" applyAlignment="1">
      <alignment horizontal="left" wrapText="1"/>
    </xf>
    <xf numFmtId="0" fontId="96" fillId="0" borderId="89" xfId="1543" applyBorder="1" applyAlignment="1">
      <alignment horizontal="left" wrapText="1"/>
    </xf>
    <xf numFmtId="0" fontId="96" fillId="0" borderId="92" xfId="1543" applyBorder="1" applyAlignment="1">
      <alignment horizontal="left" vertical="top" wrapText="1" indent="1"/>
    </xf>
    <xf numFmtId="0" fontId="96" fillId="0" borderId="92" xfId="1543" applyBorder="1" applyAlignment="1">
      <alignment horizontal="left" vertical="top" wrapText="1"/>
    </xf>
    <xf numFmtId="0" fontId="96" fillId="0" borderId="93" xfId="1543" applyBorder="1" applyAlignment="1">
      <alignment horizontal="left" vertical="center" wrapText="1"/>
    </xf>
    <xf numFmtId="0" fontId="96" fillId="0" borderId="93" xfId="1543" applyBorder="1" applyAlignment="1">
      <alignment horizontal="left" wrapText="1"/>
    </xf>
    <xf numFmtId="0" fontId="97" fillId="0" borderId="92" xfId="1543" applyFont="1" applyBorder="1" applyAlignment="1">
      <alignment horizontal="center" vertical="top" wrapText="1"/>
    </xf>
    <xf numFmtId="0" fontId="97" fillId="0" borderId="88" xfId="1543" applyFont="1" applyBorder="1" applyAlignment="1">
      <alignment horizontal="left" vertical="top" wrapText="1"/>
    </xf>
    <xf numFmtId="0" fontId="101" fillId="0" borderId="92" xfId="1543" applyFont="1" applyBorder="1" applyAlignment="1">
      <alignment horizontal="center" vertical="top" wrapText="1"/>
    </xf>
    <xf numFmtId="0" fontId="97" fillId="0" borderId="89" xfId="1543" applyFont="1" applyBorder="1" applyAlignment="1">
      <alignment horizontal="left" vertical="top" wrapText="1" indent="3"/>
    </xf>
    <xf numFmtId="0" fontId="22" fillId="0" borderId="99" xfId="0" applyFont="1" applyBorder="1" applyAlignment="1">
      <alignment vertical="top" wrapText="1"/>
    </xf>
    <xf numFmtId="0" fontId="22" fillId="0" borderId="100" xfId="0" applyFont="1" applyBorder="1" applyAlignment="1">
      <alignment vertical="top" wrapText="1"/>
    </xf>
    <xf numFmtId="0" fontId="22" fillId="0" borderId="101" xfId="0" applyFont="1" applyBorder="1" applyAlignment="1">
      <alignment vertical="top" wrapText="1"/>
    </xf>
    <xf numFmtId="0" fontId="22" fillId="0" borderId="0" xfId="0" applyFont="1" applyAlignment="1">
      <alignment vertical="top" wrapText="1"/>
    </xf>
    <xf numFmtId="0" fontId="22" fillId="0" borderId="0" xfId="0" applyFont="1" applyAlignment="1">
      <alignment vertical="center" wrapText="1"/>
    </xf>
    <xf numFmtId="0" fontId="96" fillId="0" borderId="91" xfId="1543" applyBorder="1" applyAlignment="1">
      <alignment horizontal="left" vertical="top"/>
    </xf>
    <xf numFmtId="0" fontId="111" fillId="44" borderId="94" xfId="1543" applyFont="1" applyFill="1" applyBorder="1" applyAlignment="1">
      <alignment horizontal="left" vertical="top" wrapText="1"/>
    </xf>
    <xf numFmtId="0" fontId="112" fillId="45" borderId="94" xfId="1543" applyFont="1" applyFill="1" applyBorder="1" applyAlignment="1">
      <alignment horizontal="left" vertical="top" wrapText="1"/>
    </xf>
    <xf numFmtId="0" fontId="112" fillId="45" borderId="102" xfId="1543" applyFont="1" applyFill="1" applyBorder="1" applyAlignment="1">
      <alignment horizontal="left" vertical="top" wrapText="1"/>
    </xf>
    <xf numFmtId="0" fontId="0" fillId="0" borderId="101" xfId="0" applyBorder="1">
      <alignment vertical="center"/>
    </xf>
    <xf numFmtId="0" fontId="0" fillId="37" borderId="101" xfId="0" applyFill="1" applyBorder="1">
      <alignment vertical="center"/>
    </xf>
    <xf numFmtId="0" fontId="0" fillId="37" borderId="0" xfId="0" applyFill="1">
      <alignment vertical="center"/>
    </xf>
    <xf numFmtId="0" fontId="22" fillId="37" borderId="0" xfId="0" applyFont="1" applyFill="1" applyAlignment="1">
      <alignment vertical="center" wrapText="1"/>
    </xf>
    <xf numFmtId="0" fontId="5" fillId="28" borderId="144" xfId="0" applyFont="1" applyFill="1" applyBorder="1" applyAlignment="1">
      <alignment vertical="center" wrapText="1"/>
    </xf>
    <xf numFmtId="0" fontId="5" fillId="34" borderId="144" xfId="0" applyFont="1" applyFill="1" applyBorder="1" applyAlignment="1">
      <alignment vertical="center" wrapText="1"/>
    </xf>
    <xf numFmtId="0" fontId="5" fillId="37" borderId="144" xfId="0" applyFont="1" applyFill="1" applyBorder="1">
      <alignment vertical="center"/>
    </xf>
    <xf numFmtId="0" fontId="5" fillId="31" borderId="144" xfId="0" applyFont="1" applyFill="1" applyBorder="1" applyAlignment="1">
      <alignment horizontal="right" vertical="center" wrapText="1"/>
    </xf>
    <xf numFmtId="0" fontId="5" fillId="34" borderId="144" xfId="0" applyFont="1" applyFill="1" applyBorder="1">
      <alignment vertical="center"/>
    </xf>
    <xf numFmtId="0" fontId="5" fillId="35" borderId="144" xfId="0" applyFont="1" applyFill="1" applyBorder="1">
      <alignment vertical="center"/>
    </xf>
    <xf numFmtId="0" fontId="5" fillId="35" borderId="144" xfId="0" applyFont="1" applyFill="1" applyBorder="1" applyAlignment="1">
      <alignment vertical="center" wrapText="1"/>
    </xf>
    <xf numFmtId="0" fontId="5" fillId="34" borderId="144" xfId="0" applyFont="1" applyFill="1" applyBorder="1" applyAlignment="1">
      <alignment vertical="center" shrinkToFit="1"/>
    </xf>
    <xf numFmtId="0" fontId="5" fillId="28" borderId="144" xfId="0" applyFont="1" applyFill="1" applyBorder="1" applyAlignment="1">
      <alignment vertical="center" shrinkToFit="1"/>
    </xf>
    <xf numFmtId="0" fontId="5" fillId="34" borderId="144" xfId="0" applyFont="1" applyFill="1" applyBorder="1" applyAlignment="1">
      <alignment horizontal="left" vertical="center"/>
    </xf>
    <xf numFmtId="0" fontId="8" fillId="0" borderId="145" xfId="0" applyFont="1" applyBorder="1" applyAlignment="1">
      <alignment horizontal="left" vertical="center"/>
    </xf>
    <xf numFmtId="0" fontId="8" fillId="0" borderId="145" xfId="0" applyFont="1" applyBorder="1" applyAlignment="1">
      <alignment vertical="top" wrapText="1"/>
    </xf>
    <xf numFmtId="0" fontId="7" fillId="0" borderId="145" xfId="0" applyFont="1" applyBorder="1" applyAlignment="1">
      <alignment horizontal="left" vertical="center"/>
    </xf>
    <xf numFmtId="0" fontId="7" fillId="0" borderId="145" xfId="0" applyFont="1" applyBorder="1" applyAlignment="1">
      <alignment horizontal="left" vertical="top"/>
    </xf>
    <xf numFmtId="0" fontId="19" fillId="30" borderId="145" xfId="0" applyFont="1" applyFill="1" applyBorder="1" applyAlignment="1" applyProtection="1">
      <alignment horizontal="center" vertical="center"/>
      <protection locked="0" hidden="1"/>
    </xf>
    <xf numFmtId="0" fontId="18" fillId="0" borderId="145" xfId="1541" applyFont="1" applyBorder="1" applyAlignment="1">
      <alignment horizontal="left" vertical="center"/>
    </xf>
    <xf numFmtId="0" fontId="18" fillId="0" borderId="145" xfId="1541" applyFont="1" applyBorder="1">
      <alignment vertical="center"/>
    </xf>
    <xf numFmtId="0" fontId="18" fillId="0" borderId="144" xfId="1541" applyFont="1" applyBorder="1">
      <alignment vertical="center"/>
    </xf>
    <xf numFmtId="0" fontId="18" fillId="37" borderId="145" xfId="1541" applyFont="1" applyFill="1" applyBorder="1" applyAlignment="1" applyProtection="1">
      <alignment horizontal="center" vertical="center" shrinkToFit="1"/>
      <protection locked="0"/>
    </xf>
    <xf numFmtId="0" fontId="18" fillId="0" borderId="145" xfId="1541" applyFont="1" applyBorder="1" applyAlignment="1">
      <alignment horizontal="center" vertical="center"/>
    </xf>
    <xf numFmtId="0" fontId="18" fillId="0" borderId="144" xfId="1541" applyFont="1" applyBorder="1" applyAlignment="1">
      <alignment horizontal="center" vertical="center"/>
    </xf>
    <xf numFmtId="0" fontId="4" fillId="0" borderId="145" xfId="1541" applyBorder="1">
      <alignment vertical="center"/>
    </xf>
    <xf numFmtId="0" fontId="19" fillId="30" borderId="145" xfId="1541" applyFont="1" applyFill="1" applyBorder="1" applyAlignment="1" applyProtection="1">
      <alignment horizontal="center" vertical="center"/>
      <protection locked="0" hidden="1"/>
    </xf>
    <xf numFmtId="0" fontId="18" fillId="39" borderId="145" xfId="1541" applyFont="1" applyFill="1" applyBorder="1" applyAlignment="1">
      <alignment horizontal="left" vertical="center"/>
    </xf>
    <xf numFmtId="181" fontId="18" fillId="0" borderId="145" xfId="1541" applyNumberFormat="1" applyFont="1" applyBorder="1" applyAlignment="1" applyProtection="1">
      <alignment vertical="center" shrinkToFit="1"/>
      <protection locked="0"/>
    </xf>
    <xf numFmtId="0" fontId="9" fillId="0" borderId="145" xfId="1541" applyFont="1" applyBorder="1">
      <alignment vertical="center"/>
    </xf>
    <xf numFmtId="0" fontId="8" fillId="0" borderId="145" xfId="0" applyFont="1" applyBorder="1">
      <alignment vertical="center"/>
    </xf>
    <xf numFmtId="0" fontId="8" fillId="0" borderId="145" xfId="0" applyFont="1" applyBorder="1" applyAlignment="1">
      <alignment horizontal="right" vertical="center"/>
    </xf>
    <xf numFmtId="0" fontId="8" fillId="0" borderId="144" xfId="0" applyFont="1" applyBorder="1">
      <alignment vertical="center"/>
    </xf>
    <xf numFmtId="0" fontId="8" fillId="0" borderId="144" xfId="0" applyFont="1" applyBorder="1" applyAlignment="1">
      <alignment horizontal="right" vertical="center"/>
    </xf>
    <xf numFmtId="0" fontId="4" fillId="0" borderId="145" xfId="1256" applyBorder="1" applyAlignment="1">
      <alignment horizontal="center" vertical="center"/>
    </xf>
    <xf numFmtId="0" fontId="4" fillId="0" borderId="144" xfId="1256" applyBorder="1" applyAlignment="1">
      <alignment horizontal="center" vertical="center"/>
    </xf>
    <xf numFmtId="0" fontId="10" fillId="0" borderId="145" xfId="1256" applyFont="1" applyBorder="1">
      <alignment vertical="center"/>
    </xf>
    <xf numFmtId="0" fontId="9" fillId="0" borderId="145" xfId="1256" applyFont="1" applyBorder="1">
      <alignment vertical="center"/>
    </xf>
    <xf numFmtId="0" fontId="0" fillId="0" borderId="145" xfId="1542" applyFont="1" applyBorder="1" applyAlignment="1">
      <alignment horizontal="center" vertical="center"/>
    </xf>
    <xf numFmtId="197" fontId="0" fillId="0" borderId="145" xfId="1542" applyNumberFormat="1" applyFont="1" applyBorder="1" applyAlignment="1">
      <alignment horizontal="center" vertical="center"/>
    </xf>
    <xf numFmtId="196" fontId="0" fillId="0" borderId="145" xfId="1542" applyNumberFormat="1" applyFont="1" applyBorder="1" applyAlignment="1">
      <alignment horizontal="center" vertical="center"/>
    </xf>
    <xf numFmtId="179" fontId="0" fillId="0" borderId="145" xfId="1542" applyNumberFormat="1" applyFont="1" applyBorder="1" applyAlignment="1">
      <alignment horizontal="center" vertical="center"/>
    </xf>
    <xf numFmtId="183" fontId="0" fillId="0" borderId="144" xfId="1542" applyNumberFormat="1" applyFont="1" applyBorder="1" applyAlignment="1">
      <alignment horizontal="center" vertical="center"/>
    </xf>
    <xf numFmtId="183" fontId="0" fillId="0" borderId="145" xfId="1542" applyNumberFormat="1" applyFont="1" applyBorder="1" applyAlignment="1">
      <alignment horizontal="center" vertical="center"/>
    </xf>
    <xf numFmtId="181" fontId="0" fillId="0" borderId="145" xfId="1542" applyNumberFormat="1" applyFont="1" applyBorder="1" applyAlignment="1">
      <alignment horizontal="left"/>
    </xf>
    <xf numFmtId="0" fontId="0" fillId="0" borderId="145" xfId="1542" applyFont="1" applyBorder="1"/>
    <xf numFmtId="0" fontId="7" fillId="0" borderId="145" xfId="1542" applyFont="1" applyBorder="1" applyAlignment="1">
      <alignment horizontal="center" vertical="center"/>
    </xf>
    <xf numFmtId="49" fontId="16" fillId="0" borderId="145" xfId="69" applyNumberFormat="1" applyFont="1" applyBorder="1" applyProtection="1">
      <protection locked="0"/>
    </xf>
    <xf numFmtId="0" fontId="16" fillId="0" borderId="145" xfId="69" applyFont="1" applyBorder="1" applyProtection="1">
      <protection locked="0"/>
    </xf>
    <xf numFmtId="0" fontId="16" fillId="0" borderId="145" xfId="120" applyFont="1" applyBorder="1" applyAlignment="1"/>
    <xf numFmtId="0" fontId="9" fillId="0" borderId="145" xfId="1539" applyFont="1" applyBorder="1">
      <alignment vertical="center"/>
    </xf>
    <xf numFmtId="0" fontId="9" fillId="0" borderId="144" xfId="1539" applyFont="1" applyBorder="1">
      <alignment vertical="center"/>
    </xf>
    <xf numFmtId="0" fontId="7" fillId="0" borderId="0" xfId="0" applyFont="1">
      <alignment vertical="center"/>
    </xf>
    <xf numFmtId="0" fontId="5" fillId="28" borderId="16" xfId="0" applyFont="1" applyFill="1" applyBorder="1" applyAlignment="1">
      <alignment horizontal="left" vertical="center" wrapText="1"/>
    </xf>
    <xf numFmtId="0" fontId="5" fillId="28" borderId="17" xfId="0" applyFont="1" applyFill="1" applyBorder="1" applyAlignment="1">
      <alignment horizontal="left" vertical="center" wrapText="1"/>
    </xf>
    <xf numFmtId="0" fontId="5" fillId="28" borderId="103" xfId="0" applyFont="1" applyFill="1" applyBorder="1" applyAlignment="1">
      <alignment horizontal="center" vertical="center" wrapText="1"/>
    </xf>
    <xf numFmtId="0" fontId="12" fillId="37" borderId="0" xfId="0" applyFont="1" applyFill="1" applyAlignment="1">
      <alignment horizontal="left" vertical="center"/>
    </xf>
    <xf numFmtId="0" fontId="8" fillId="39" borderId="0" xfId="0" applyFont="1" applyFill="1" applyAlignment="1">
      <alignment horizontal="left" vertical="top" shrinkToFit="1"/>
    </xf>
    <xf numFmtId="0" fontId="8" fillId="39" borderId="0" xfId="0" applyFont="1" applyFill="1" applyAlignment="1">
      <alignment horizontal="center" vertical="top" shrinkToFit="1"/>
    </xf>
    <xf numFmtId="0" fontId="8" fillId="39" borderId="46" xfId="0" applyFont="1" applyFill="1" applyBorder="1" applyAlignment="1">
      <alignment horizontal="left" vertical="top" shrinkToFit="1"/>
    </xf>
    <xf numFmtId="0" fontId="8" fillId="39" borderId="0" xfId="0" applyFont="1" applyFill="1" applyAlignment="1">
      <alignment horizontal="left" vertical="center" shrinkToFit="1"/>
    </xf>
    <xf numFmtId="0" fontId="10" fillId="0" borderId="0" xfId="0" applyFont="1" applyAlignment="1">
      <alignment horizontal="left" vertical="top" wrapText="1"/>
    </xf>
    <xf numFmtId="0" fontId="44" fillId="0" borderId="0" xfId="0" applyFont="1" applyAlignment="1">
      <alignment horizontal="center" vertical="center"/>
    </xf>
    <xf numFmtId="0" fontId="8" fillId="39" borderId="46" xfId="0" applyFont="1" applyFill="1" applyBorder="1" applyAlignment="1">
      <alignment horizontal="left" vertical="center" shrinkToFit="1"/>
    </xf>
    <xf numFmtId="0" fontId="8" fillId="0" borderId="0" xfId="0" applyFont="1" applyAlignment="1">
      <alignment horizontal="right" vertical="top"/>
    </xf>
    <xf numFmtId="0" fontId="8" fillId="39" borderId="53" xfId="0" applyFont="1" applyFill="1" applyBorder="1" applyAlignment="1">
      <alignment horizontal="left" vertical="top" shrinkToFit="1"/>
    </xf>
    <xf numFmtId="0" fontId="8" fillId="0" borderId="0" xfId="0" applyFont="1" applyAlignment="1">
      <alignment horizontal="left" vertical="top" shrinkToFit="1"/>
    </xf>
    <xf numFmtId="0" fontId="8" fillId="0" borderId="46" xfId="0" applyFont="1" applyBorder="1" applyAlignment="1">
      <alignment horizontal="left" vertical="top" shrinkToFit="1"/>
    </xf>
    <xf numFmtId="0" fontId="8" fillId="39" borderId="53" xfId="0" applyFont="1" applyFill="1" applyBorder="1" applyAlignment="1">
      <alignment horizontal="left" vertical="center" shrinkToFit="1"/>
    </xf>
    <xf numFmtId="0" fontId="12" fillId="37" borderId="0" xfId="0" applyFont="1" applyFill="1" applyAlignment="1">
      <alignment horizontal="right" vertical="center"/>
    </xf>
    <xf numFmtId="0" fontId="8" fillId="39" borderId="145" xfId="0" applyFont="1" applyFill="1" applyBorder="1" applyAlignment="1">
      <alignment horizontal="left" vertical="center" shrinkToFit="1"/>
    </xf>
    <xf numFmtId="0" fontId="8" fillId="39" borderId="0" xfId="0" applyFont="1" applyFill="1" applyAlignment="1">
      <alignment vertical="top" wrapText="1"/>
    </xf>
    <xf numFmtId="0" fontId="8" fillId="39" borderId="46" xfId="0" applyFont="1" applyFill="1" applyBorder="1" applyAlignment="1">
      <alignment vertical="top" wrapText="1"/>
    </xf>
    <xf numFmtId="0" fontId="8" fillId="39" borderId="0" xfId="0" applyFont="1" applyFill="1" applyAlignment="1">
      <alignment horizontal="center" vertical="center" shrinkToFit="1"/>
    </xf>
    <xf numFmtId="0" fontId="26" fillId="0" borderId="0" xfId="0" applyFont="1" applyAlignment="1">
      <alignment horizontal="center" vertical="center"/>
    </xf>
    <xf numFmtId="0" fontId="8" fillId="39" borderId="52" xfId="0" applyFont="1" applyFill="1" applyBorder="1" applyAlignment="1">
      <alignment horizontal="left" vertical="center" shrinkToFit="1"/>
    </xf>
    <xf numFmtId="0" fontId="8" fillId="39" borderId="0" xfId="0" applyFont="1" applyFill="1" applyAlignment="1">
      <alignment horizontal="left" vertical="center"/>
    </xf>
    <xf numFmtId="0" fontId="8" fillId="39" borderId="46" xfId="0" applyFont="1" applyFill="1" applyBorder="1" applyAlignment="1">
      <alignment horizontal="left" vertical="center"/>
    </xf>
    <xf numFmtId="178" fontId="8" fillId="39" borderId="0" xfId="0" applyNumberFormat="1" applyFont="1" applyFill="1" applyAlignment="1">
      <alignment horizontal="center" vertical="center" shrinkToFit="1"/>
    </xf>
    <xf numFmtId="178" fontId="8" fillId="39" borderId="46" xfId="0" applyNumberFormat="1" applyFont="1" applyFill="1" applyBorder="1" applyAlignment="1">
      <alignment horizontal="center" vertical="center" shrinkToFit="1"/>
    </xf>
    <xf numFmtId="177" fontId="8" fillId="39" borderId="0" xfId="0" applyNumberFormat="1" applyFont="1" applyFill="1" applyAlignment="1">
      <alignment horizontal="right" vertical="top" shrinkToFit="1"/>
    </xf>
    <xf numFmtId="0" fontId="8" fillId="0" borderId="145" xfId="0" applyFont="1" applyBorder="1" applyAlignment="1">
      <alignment horizontal="center" vertical="center"/>
    </xf>
    <xf numFmtId="0" fontId="8" fillId="39" borderId="145" xfId="0" applyFont="1" applyFill="1" applyBorder="1" applyAlignment="1">
      <alignment vertical="center" shrinkToFit="1"/>
    </xf>
    <xf numFmtId="0" fontId="8" fillId="0" borderId="46" xfId="0" applyFont="1" applyBorder="1" applyAlignment="1">
      <alignment horizontal="left" vertical="center" shrinkToFit="1"/>
    </xf>
    <xf numFmtId="177" fontId="8" fillId="39" borderId="0" xfId="0" applyNumberFormat="1" applyFont="1" applyFill="1" applyAlignment="1">
      <alignment horizontal="right" vertical="center" shrinkToFit="1"/>
    </xf>
    <xf numFmtId="0" fontId="8" fillId="0" borderId="0" xfId="0" applyFont="1" applyAlignment="1">
      <alignment horizontal="center" vertical="top"/>
    </xf>
    <xf numFmtId="0" fontId="0" fillId="39" borderId="0" xfId="0" applyFill="1" applyAlignment="1">
      <alignment horizontal="left" vertical="center" wrapText="1"/>
    </xf>
    <xf numFmtId="0" fontId="0" fillId="39" borderId="46" xfId="0" applyFill="1" applyBorder="1" applyAlignment="1">
      <alignment horizontal="left" vertical="center" wrapText="1"/>
    </xf>
    <xf numFmtId="177" fontId="8" fillId="39" borderId="46" xfId="0" applyNumberFormat="1" applyFont="1" applyFill="1" applyBorder="1" applyAlignment="1">
      <alignment horizontal="right" vertical="center" shrinkToFit="1"/>
    </xf>
    <xf numFmtId="178" fontId="8" fillId="39" borderId="0" xfId="0" applyNumberFormat="1" applyFont="1" applyFill="1" applyAlignment="1">
      <alignment horizontal="right" vertical="center" shrinkToFit="1"/>
    </xf>
    <xf numFmtId="181" fontId="8" fillId="39" borderId="0" xfId="0" applyNumberFormat="1" applyFont="1" applyFill="1" applyAlignment="1">
      <alignment horizontal="right" vertical="center" shrinkToFit="1"/>
    </xf>
    <xf numFmtId="181" fontId="8" fillId="39" borderId="46" xfId="0" applyNumberFormat="1" applyFont="1" applyFill="1" applyBorder="1" applyAlignment="1">
      <alignment horizontal="right" vertical="center" shrinkToFit="1"/>
    </xf>
    <xf numFmtId="0" fontId="8" fillId="39" borderId="145" xfId="0" applyFont="1" applyFill="1" applyBorder="1" applyAlignment="1">
      <alignment horizontal="left" vertical="top" wrapText="1"/>
    </xf>
    <xf numFmtId="0" fontId="8" fillId="39" borderId="0" xfId="0" applyFont="1" applyFill="1" applyAlignment="1">
      <alignment horizontal="left" vertical="top" wrapText="1"/>
    </xf>
    <xf numFmtId="0" fontId="8" fillId="39" borderId="145" xfId="0" applyFont="1" applyFill="1" applyBorder="1" applyAlignment="1">
      <alignment horizontal="left" vertical="top"/>
    </xf>
    <xf numFmtId="0" fontId="8" fillId="39" borderId="0" xfId="0" applyFont="1" applyFill="1" applyAlignment="1">
      <alignment horizontal="left" vertical="top"/>
    </xf>
    <xf numFmtId="182" fontId="8" fillId="39" borderId="0" xfId="0" applyNumberFormat="1" applyFont="1" applyFill="1" applyAlignment="1">
      <alignment horizontal="left" vertical="center" shrinkToFit="1"/>
    </xf>
    <xf numFmtId="182" fontId="8" fillId="39" borderId="46" xfId="0" applyNumberFormat="1" applyFont="1" applyFill="1" applyBorder="1" applyAlignment="1">
      <alignment horizontal="left" vertical="center" shrinkToFit="1"/>
    </xf>
    <xf numFmtId="0" fontId="8" fillId="39" borderId="46" xfId="0" applyFont="1" applyFill="1" applyBorder="1" applyAlignment="1">
      <alignment horizontal="center" vertical="center" shrinkToFit="1"/>
    </xf>
    <xf numFmtId="182" fontId="8" fillId="39" borderId="52" xfId="0" applyNumberFormat="1" applyFont="1" applyFill="1" applyBorder="1" applyAlignment="1">
      <alignment horizontal="left" vertical="center" shrinkToFit="1"/>
    </xf>
    <xf numFmtId="0" fontId="8" fillId="39" borderId="145" xfId="0" applyFont="1" applyFill="1" applyBorder="1" applyAlignment="1">
      <alignment horizontal="left" vertical="top" shrinkToFit="1"/>
    </xf>
    <xf numFmtId="0" fontId="8" fillId="39" borderId="46" xfId="0" applyFont="1" applyFill="1" applyBorder="1" applyAlignment="1">
      <alignment horizontal="left" vertical="top" wrapText="1"/>
    </xf>
    <xf numFmtId="0" fontId="19" fillId="29" borderId="0" xfId="0" applyFont="1" applyFill="1" applyAlignment="1" applyProtection="1">
      <alignment vertical="center" shrinkToFit="1"/>
      <protection locked="0"/>
    </xf>
    <xf numFmtId="0" fontId="0" fillId="29" borderId="0" xfId="0" applyFill="1" applyAlignment="1" applyProtection="1">
      <alignment vertical="center" shrinkToFit="1"/>
      <protection locked="0"/>
    </xf>
    <xf numFmtId="0" fontId="19" fillId="29" borderId="0" xfId="0" applyFont="1" applyFill="1" applyAlignment="1">
      <alignment vertical="center" shrinkToFit="1"/>
    </xf>
    <xf numFmtId="0" fontId="0" fillId="29" borderId="0" xfId="0" applyFill="1" applyAlignment="1">
      <alignment vertical="center" shrinkToFit="1"/>
    </xf>
    <xf numFmtId="0" fontId="19" fillId="29" borderId="46" xfId="0" applyFont="1" applyFill="1" applyBorder="1" applyAlignment="1" applyProtection="1">
      <alignment vertical="center" shrinkToFit="1"/>
      <protection locked="0"/>
    </xf>
    <xf numFmtId="0" fontId="0" fillId="29" borderId="46" xfId="0" applyFill="1" applyBorder="1" applyAlignment="1" applyProtection="1">
      <alignment vertical="center" shrinkToFit="1"/>
      <protection locked="0"/>
    </xf>
    <xf numFmtId="0" fontId="19" fillId="0" borderId="46" xfId="0" applyFont="1" applyBorder="1" applyAlignment="1">
      <alignment horizontal="center" vertical="center"/>
    </xf>
    <xf numFmtId="0" fontId="19" fillId="30" borderId="145" xfId="0" applyFont="1" applyFill="1" applyBorder="1" applyAlignment="1" applyProtection="1">
      <alignment horizontal="center" vertical="center"/>
      <protection locked="0" hidden="1"/>
    </xf>
    <xf numFmtId="0" fontId="0" fillId="30" borderId="145" xfId="0" applyFill="1" applyBorder="1" applyAlignment="1" applyProtection="1">
      <alignment horizontal="center" vertical="center"/>
      <protection locked="0" hidden="1"/>
    </xf>
    <xf numFmtId="0" fontId="19" fillId="29" borderId="145" xfId="0" applyFont="1" applyFill="1" applyBorder="1" applyAlignment="1" applyProtection="1">
      <alignment vertical="center" shrinkToFit="1"/>
      <protection locked="0"/>
    </xf>
    <xf numFmtId="0" fontId="0" fillId="29" borderId="145" xfId="0" applyFill="1" applyBorder="1" applyAlignment="1" applyProtection="1">
      <alignment vertical="center" shrinkToFit="1"/>
      <protection locked="0"/>
    </xf>
    <xf numFmtId="0" fontId="19" fillId="30" borderId="0" xfId="0" applyFont="1" applyFill="1" applyAlignment="1" applyProtection="1">
      <alignment horizontal="center" vertical="center"/>
      <protection locked="0" hidden="1"/>
    </xf>
    <xf numFmtId="0" fontId="0" fillId="30" borderId="0" xfId="0" applyFill="1" applyAlignment="1" applyProtection="1">
      <alignment horizontal="center" vertical="center"/>
      <protection locked="0" hidden="1"/>
    </xf>
    <xf numFmtId="0" fontId="19" fillId="29" borderId="0" xfId="0" applyFont="1" applyFill="1" applyAlignment="1" applyProtection="1">
      <alignment vertical="center" shrinkToFit="1"/>
      <protection locked="0" hidden="1"/>
    </xf>
    <xf numFmtId="0" fontId="19" fillId="29" borderId="0" xfId="0" applyFont="1" applyFill="1" applyProtection="1">
      <alignment vertical="center"/>
      <protection locked="0"/>
    </xf>
    <xf numFmtId="177" fontId="19" fillId="31" borderId="52" xfId="0" applyNumberFormat="1" applyFont="1" applyFill="1" applyBorder="1" applyAlignment="1" applyProtection="1">
      <alignment horizontal="right" vertical="center" shrinkToFit="1"/>
      <protection locked="0" hidden="1"/>
    </xf>
    <xf numFmtId="177" fontId="0" fillId="31" borderId="52" xfId="0" applyNumberFormat="1" applyFill="1" applyBorder="1" applyAlignment="1" applyProtection="1">
      <alignment vertical="center" shrinkToFit="1"/>
      <protection locked="0" hidden="1"/>
    </xf>
    <xf numFmtId="0" fontId="0" fillId="29" borderId="0" xfId="0" applyFill="1" applyProtection="1">
      <alignment vertical="center"/>
      <protection locked="0"/>
    </xf>
    <xf numFmtId="0" fontId="19" fillId="0" borderId="0" xfId="0" applyFont="1" applyAlignment="1">
      <alignment vertical="center" shrinkToFit="1"/>
    </xf>
    <xf numFmtId="0" fontId="0" fillId="0" borderId="0" xfId="0" applyAlignment="1">
      <alignment vertical="center" shrinkToFit="1"/>
    </xf>
    <xf numFmtId="0" fontId="19" fillId="31" borderId="0" xfId="0" applyFont="1" applyFill="1" applyAlignment="1" applyProtection="1">
      <alignment horizontal="center" vertical="center" shrinkToFit="1"/>
      <protection locked="0" hidden="1"/>
    </xf>
    <xf numFmtId="0" fontId="19" fillId="31" borderId="46" xfId="0" applyFont="1" applyFill="1" applyBorder="1" applyAlignment="1" applyProtection="1">
      <alignment horizontal="center" vertical="center" shrinkToFit="1"/>
      <protection locked="0" hidden="1"/>
    </xf>
    <xf numFmtId="0" fontId="0" fillId="31" borderId="46" xfId="0" applyFill="1" applyBorder="1" applyAlignment="1" applyProtection="1">
      <alignment horizontal="center" vertical="center" shrinkToFit="1"/>
      <protection locked="0" hidden="1"/>
    </xf>
    <xf numFmtId="177" fontId="19" fillId="31" borderId="0" xfId="0" applyNumberFormat="1" applyFont="1" applyFill="1" applyAlignment="1" applyProtection="1">
      <alignment horizontal="right" vertical="center" shrinkToFit="1"/>
      <protection locked="0" hidden="1"/>
    </xf>
    <xf numFmtId="177" fontId="0" fillId="31" borderId="0" xfId="0" applyNumberFormat="1" applyFill="1" applyAlignment="1" applyProtection="1">
      <alignment vertical="center" shrinkToFit="1"/>
      <protection locked="0" hidden="1"/>
    </xf>
    <xf numFmtId="0" fontId="0" fillId="0" borderId="0" xfId="0">
      <alignment vertical="center"/>
    </xf>
    <xf numFmtId="0" fontId="19" fillId="29" borderId="0" xfId="0" applyFont="1" applyFill="1" applyAlignment="1" applyProtection="1">
      <alignment horizontal="right" vertical="center"/>
      <protection locked="0"/>
    </xf>
    <xf numFmtId="0" fontId="19" fillId="30" borderId="46" xfId="0" applyFont="1" applyFill="1" applyBorder="1" applyAlignment="1" applyProtection="1">
      <alignment horizontal="center" vertical="center"/>
      <protection locked="0" hidden="1"/>
    </xf>
    <xf numFmtId="0" fontId="0" fillId="30" borderId="46" xfId="0" applyFill="1" applyBorder="1" applyAlignment="1" applyProtection="1">
      <alignment horizontal="center" vertical="center"/>
      <protection locked="0" hidden="1"/>
    </xf>
    <xf numFmtId="191" fontId="19" fillId="0" borderId="0" xfId="0" applyNumberFormat="1" applyFont="1" applyAlignment="1">
      <alignment horizontal="right" vertical="center"/>
    </xf>
    <xf numFmtId="191" fontId="19" fillId="0" borderId="46" xfId="0" applyNumberFormat="1" applyFont="1" applyBorder="1" applyAlignment="1">
      <alignment horizontal="right" vertical="center"/>
    </xf>
    <xf numFmtId="0" fontId="19" fillId="31" borderId="0" xfId="0" applyFont="1" applyFill="1" applyAlignment="1" applyProtection="1">
      <alignment vertical="center" wrapText="1"/>
      <protection locked="0" hidden="1"/>
    </xf>
    <xf numFmtId="0" fontId="18" fillId="31" borderId="0" xfId="0" applyFont="1" applyFill="1" applyAlignment="1" applyProtection="1">
      <alignment vertical="center" wrapText="1"/>
      <protection locked="0" hidden="1"/>
    </xf>
    <xf numFmtId="0" fontId="19" fillId="31" borderId="0" xfId="0" applyFont="1" applyFill="1" applyAlignment="1" applyProtection="1">
      <alignment vertical="center" shrinkToFit="1"/>
      <protection locked="0" hidden="1"/>
    </xf>
    <xf numFmtId="0" fontId="0" fillId="31" borderId="0" xfId="0" applyFill="1" applyAlignment="1" applyProtection="1">
      <alignment vertical="center" shrinkToFit="1"/>
      <protection locked="0" hidden="1"/>
    </xf>
    <xf numFmtId="0" fontId="0" fillId="0" borderId="0" xfId="0" applyAlignment="1" applyProtection="1">
      <alignment vertical="center" shrinkToFit="1"/>
      <protection locked="0" hidden="1"/>
    </xf>
    <xf numFmtId="0" fontId="19" fillId="31" borderId="46" xfId="0" applyFont="1"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19" fillId="31" borderId="46" xfId="0" applyFont="1" applyFill="1" applyBorder="1" applyProtection="1">
      <alignment vertical="center"/>
      <protection locked="0"/>
    </xf>
    <xf numFmtId="0" fontId="0" fillId="31" borderId="46" xfId="0" applyFill="1" applyBorder="1">
      <alignment vertical="center"/>
    </xf>
    <xf numFmtId="0" fontId="15" fillId="37" borderId="0" xfId="0" applyFont="1" applyFill="1" applyAlignment="1" applyProtection="1">
      <alignment horizontal="left" vertical="center" shrinkToFit="1"/>
      <protection locked="0"/>
    </xf>
    <xf numFmtId="0" fontId="19" fillId="0" borderId="0" xfId="0" applyFont="1" applyAlignment="1">
      <alignment horizontal="center" vertical="center"/>
    </xf>
    <xf numFmtId="0" fontId="90" fillId="0" borderId="0" xfId="0" applyFont="1" applyAlignment="1">
      <alignment horizontal="center" vertical="center"/>
    </xf>
    <xf numFmtId="0" fontId="90" fillId="0" borderId="0" xfId="0" applyFont="1">
      <alignment vertical="center"/>
    </xf>
    <xf numFmtId="0" fontId="19" fillId="0" borderId="0" xfId="0" applyFont="1">
      <alignment vertical="center"/>
    </xf>
    <xf numFmtId="0" fontId="19" fillId="37" borderId="46" xfId="0" applyFont="1" applyFill="1" applyBorder="1" applyAlignment="1" applyProtection="1">
      <alignment horizontal="center" vertical="center" shrinkToFit="1"/>
      <protection locked="0"/>
    </xf>
    <xf numFmtId="0" fontId="0" fillId="37" borderId="46" xfId="0" applyFill="1" applyBorder="1" applyAlignment="1" applyProtection="1">
      <alignment horizontal="center" vertical="center" shrinkToFit="1"/>
      <protection locked="0"/>
    </xf>
    <xf numFmtId="0" fontId="19" fillId="31" borderId="0" xfId="0" applyFont="1" applyFill="1" applyAlignment="1" applyProtection="1">
      <alignment vertical="center" wrapText="1" shrinkToFit="1"/>
      <protection locked="0" hidden="1"/>
    </xf>
    <xf numFmtId="0" fontId="18" fillId="31" borderId="0" xfId="0" applyFont="1" applyFill="1" applyAlignment="1" applyProtection="1">
      <alignment vertical="center" shrinkToFit="1"/>
      <protection locked="0" hidden="1"/>
    </xf>
    <xf numFmtId="0" fontId="22" fillId="0" borderId="0" xfId="1541" applyFont="1" applyAlignment="1">
      <alignment horizontal="center" vertical="center"/>
    </xf>
    <xf numFmtId="0" fontId="22" fillId="37" borderId="0" xfId="1541" applyFont="1" applyFill="1" applyAlignment="1" applyProtection="1">
      <alignment horizontal="right" vertical="center"/>
      <protection locked="0"/>
    </xf>
    <xf numFmtId="0" fontId="22" fillId="37" borderId="104" xfId="1541" applyFont="1" applyFill="1" applyBorder="1" applyAlignment="1" applyProtection="1">
      <alignment horizontal="right" vertical="center"/>
      <protection locked="0"/>
    </xf>
    <xf numFmtId="0" fontId="18" fillId="0" borderId="0" xfId="1541" applyFont="1" applyAlignment="1">
      <alignment horizontal="left" vertical="center"/>
    </xf>
    <xf numFmtId="0" fontId="18" fillId="0" borderId="11" xfId="1541" applyFont="1" applyBorder="1" applyAlignment="1">
      <alignment horizontal="left" vertical="center"/>
    </xf>
    <xf numFmtId="0" fontId="18" fillId="0" borderId="145" xfId="1541" applyFont="1" applyBorder="1" applyAlignment="1">
      <alignment horizontal="left" vertical="center"/>
    </xf>
    <xf numFmtId="0" fontId="18" fillId="0" borderId="12" xfId="1541" applyFont="1" applyBorder="1" applyAlignment="1">
      <alignment horizontal="left" vertical="center"/>
    </xf>
    <xf numFmtId="0" fontId="18" fillId="39" borderId="21" xfId="1541" applyFont="1" applyFill="1" applyBorder="1" applyAlignment="1" applyProtection="1">
      <alignment horizontal="left" vertical="center" shrinkToFit="1"/>
      <protection locked="0"/>
    </xf>
    <xf numFmtId="0" fontId="18" fillId="39" borderId="52" xfId="1541" applyFont="1" applyFill="1" applyBorder="1" applyAlignment="1" applyProtection="1">
      <alignment horizontal="left" vertical="center" shrinkToFit="1"/>
      <protection locked="0"/>
    </xf>
    <xf numFmtId="0" fontId="18" fillId="39" borderId="32" xfId="1541" applyFont="1" applyFill="1" applyBorder="1" applyAlignment="1" applyProtection="1">
      <alignment horizontal="left" vertical="center" shrinkToFit="1"/>
      <protection locked="0"/>
    </xf>
    <xf numFmtId="191" fontId="22" fillId="0" borderId="0" xfId="1541" applyNumberFormat="1" applyFont="1" applyAlignment="1" applyProtection="1">
      <alignment horizontal="right" vertical="center" shrinkToFit="1"/>
      <protection locked="0"/>
    </xf>
    <xf numFmtId="191" fontId="0" fillId="0" borderId="0" xfId="0" applyNumberFormat="1" applyAlignment="1">
      <alignment horizontal="right" vertical="center" shrinkToFit="1"/>
    </xf>
    <xf numFmtId="191" fontId="0" fillId="0" borderId="105" xfId="0" applyNumberFormat="1" applyBorder="1" applyAlignment="1">
      <alignment horizontal="right" vertical="center" shrinkToFit="1"/>
    </xf>
    <xf numFmtId="192" fontId="22" fillId="39" borderId="0" xfId="1541" applyNumberFormat="1" applyFont="1" applyFill="1" applyAlignment="1" applyProtection="1">
      <alignment horizontal="center" vertical="center" shrinkToFit="1"/>
      <protection locked="0"/>
    </xf>
    <xf numFmtId="192" fontId="0" fillId="0" borderId="0" xfId="0" applyNumberFormat="1" applyAlignment="1">
      <alignment horizontal="center" vertical="center" shrinkToFit="1"/>
    </xf>
    <xf numFmtId="192" fontId="0" fillId="0" borderId="105" xfId="0" applyNumberFormat="1" applyBorder="1" applyAlignment="1">
      <alignment horizontal="center" vertical="center" shrinkToFit="1"/>
    </xf>
    <xf numFmtId="188" fontId="22" fillId="39" borderId="0" xfId="1541" applyNumberFormat="1" applyFont="1" applyFill="1" applyAlignment="1" applyProtection="1">
      <alignment horizontal="center" vertical="center" shrinkToFit="1"/>
      <protection locked="0"/>
    </xf>
    <xf numFmtId="188" fontId="22" fillId="39" borderId="105" xfId="1541" applyNumberFormat="1" applyFont="1" applyFill="1" applyBorder="1" applyAlignment="1" applyProtection="1">
      <alignment horizontal="center" vertical="center" shrinkToFit="1"/>
      <protection locked="0"/>
    </xf>
    <xf numFmtId="189" fontId="22" fillId="39" borderId="0" xfId="1541" applyNumberFormat="1" applyFont="1" applyFill="1" applyAlignment="1" applyProtection="1">
      <alignment horizontal="center" vertical="center" shrinkToFit="1"/>
      <protection locked="0"/>
    </xf>
    <xf numFmtId="189" fontId="22" fillId="39" borderId="105" xfId="1541" applyNumberFormat="1" applyFont="1" applyFill="1" applyBorder="1" applyAlignment="1" applyProtection="1">
      <alignment horizontal="center" vertical="center" shrinkToFit="1"/>
      <protection locked="0"/>
    </xf>
    <xf numFmtId="0" fontId="18" fillId="0" borderId="21" xfId="1541" applyFont="1" applyBorder="1" applyAlignment="1">
      <alignment horizontal="left" vertical="center"/>
    </xf>
    <xf numFmtId="0" fontId="18" fillId="0" borderId="52" xfId="1541" applyFont="1" applyBorder="1" applyAlignment="1">
      <alignment horizontal="left" vertical="center"/>
    </xf>
    <xf numFmtId="0" fontId="18" fillId="0" borderId="46" xfId="1541" applyFont="1" applyBorder="1" applyAlignment="1">
      <alignment horizontal="left" vertical="center"/>
    </xf>
    <xf numFmtId="0" fontId="18" fillId="0" borderId="22" xfId="1541" applyFont="1" applyBorder="1" applyAlignment="1">
      <alignment horizontal="left" vertical="center"/>
    </xf>
    <xf numFmtId="0" fontId="0" fillId="0" borderId="52" xfId="0" applyBorder="1" applyAlignment="1">
      <alignment vertical="center" shrinkToFit="1"/>
    </xf>
    <xf numFmtId="0" fontId="0" fillId="0" borderId="32" xfId="0" applyBorder="1" applyAlignment="1">
      <alignment vertical="center" shrinkToFit="1"/>
    </xf>
    <xf numFmtId="0" fontId="4" fillId="39" borderId="52" xfId="1541" applyFill="1" applyBorder="1" applyAlignment="1">
      <alignment horizontal="left" vertical="center" shrinkToFit="1"/>
    </xf>
    <xf numFmtId="0" fontId="4" fillId="39" borderId="32" xfId="1541" applyFill="1" applyBorder="1" applyAlignment="1">
      <alignment horizontal="left" vertical="center" shrinkToFit="1"/>
    </xf>
    <xf numFmtId="0" fontId="18" fillId="39" borderId="21" xfId="1541" applyFont="1" applyFill="1" applyBorder="1" applyAlignment="1" applyProtection="1">
      <alignment horizontal="left" vertical="center" wrapText="1"/>
      <protection locked="0"/>
    </xf>
    <xf numFmtId="0" fontId="18" fillId="39" borderId="52" xfId="1541" applyFont="1" applyFill="1" applyBorder="1" applyAlignment="1" applyProtection="1">
      <alignment horizontal="left" vertical="center" wrapText="1"/>
      <protection locked="0"/>
    </xf>
    <xf numFmtId="0" fontId="4" fillId="0" borderId="52" xfId="1541" applyBorder="1" applyAlignment="1">
      <alignment vertical="center" wrapText="1"/>
    </xf>
    <xf numFmtId="0" fontId="4" fillId="0" borderId="32" xfId="1541" applyBorder="1" applyAlignment="1">
      <alignment vertical="center" wrapText="1"/>
    </xf>
    <xf numFmtId="0" fontId="18" fillId="0" borderId="32" xfId="1541" applyFont="1" applyBorder="1" applyAlignment="1">
      <alignment horizontal="left" vertical="center"/>
    </xf>
    <xf numFmtId="49" fontId="18" fillId="37" borderId="14" xfId="1541" applyNumberFormat="1" applyFont="1" applyFill="1" applyBorder="1" applyAlignment="1" applyProtection="1">
      <alignment horizontal="center" vertical="center" wrapText="1"/>
      <protection locked="0"/>
    </xf>
    <xf numFmtId="49" fontId="18" fillId="37" borderId="46" xfId="1541" applyNumberFormat="1" applyFont="1" applyFill="1" applyBorder="1" applyAlignment="1" applyProtection="1">
      <alignment horizontal="center" vertical="center" wrapText="1"/>
      <protection locked="0"/>
    </xf>
    <xf numFmtId="49" fontId="18" fillId="37" borderId="22" xfId="1541" applyNumberFormat="1" applyFont="1" applyFill="1" applyBorder="1" applyAlignment="1" applyProtection="1">
      <alignment horizontal="center" vertical="center" wrapText="1"/>
      <protection locked="0"/>
    </xf>
    <xf numFmtId="0" fontId="0" fillId="0" borderId="52" xfId="0" applyBorder="1" applyAlignment="1">
      <alignment vertical="center" wrapText="1"/>
    </xf>
    <xf numFmtId="0" fontId="0" fillId="0" borderId="32" xfId="0" applyBorder="1" applyAlignment="1">
      <alignment vertical="center" wrapText="1"/>
    </xf>
    <xf numFmtId="49" fontId="18" fillId="37" borderId="21" xfId="1541" applyNumberFormat="1" applyFont="1" applyFill="1" applyBorder="1" applyAlignment="1">
      <alignment horizontal="center" vertical="center"/>
    </xf>
    <xf numFmtId="49" fontId="18" fillId="37" borderId="52" xfId="1541" applyNumberFormat="1" applyFont="1" applyFill="1" applyBorder="1" applyAlignment="1">
      <alignment horizontal="center" vertical="center"/>
    </xf>
    <xf numFmtId="49" fontId="18" fillId="37" borderId="32" xfId="1541" applyNumberFormat="1" applyFont="1" applyFill="1" applyBorder="1" applyAlignment="1">
      <alignment horizontal="center" vertical="center"/>
    </xf>
    <xf numFmtId="0" fontId="18" fillId="0" borderId="13" xfId="1541" applyFont="1" applyBorder="1" applyAlignment="1">
      <alignment horizontal="left" vertical="center"/>
    </xf>
    <xf numFmtId="0" fontId="18" fillId="0" borderId="21" xfId="1541" applyFont="1" applyBorder="1" applyAlignment="1">
      <alignment horizontal="center" vertical="center"/>
    </xf>
    <xf numFmtId="0" fontId="18" fillId="0" borderId="52" xfId="1541" applyFont="1" applyBorder="1" applyAlignment="1">
      <alignment horizontal="center" vertical="center"/>
    </xf>
    <xf numFmtId="0" fontId="18" fillId="37" borderId="52" xfId="1541" applyFont="1" applyFill="1" applyBorder="1" applyAlignment="1">
      <alignment horizontal="left" vertical="center"/>
    </xf>
    <xf numFmtId="49" fontId="18" fillId="37" borderId="21" xfId="1541" applyNumberFormat="1" applyFont="1" applyFill="1" applyBorder="1" applyAlignment="1" applyProtection="1">
      <alignment horizontal="left" vertical="center" shrinkToFit="1"/>
      <protection locked="0"/>
    </xf>
    <xf numFmtId="49" fontId="18" fillId="37" borderId="52" xfId="1541" applyNumberFormat="1" applyFont="1" applyFill="1" applyBorder="1" applyAlignment="1" applyProtection="1">
      <alignment horizontal="left" vertical="center" shrinkToFit="1"/>
      <protection locked="0"/>
    </xf>
    <xf numFmtId="49" fontId="18" fillId="37" borderId="32" xfId="1541" applyNumberFormat="1" applyFont="1" applyFill="1" applyBorder="1" applyAlignment="1" applyProtection="1">
      <alignment horizontal="left" vertical="center" shrinkToFit="1"/>
      <protection locked="0"/>
    </xf>
    <xf numFmtId="0" fontId="18" fillId="0" borderId="32" xfId="1541" applyFont="1" applyBorder="1" applyAlignment="1">
      <alignment horizontal="center" vertical="center"/>
    </xf>
    <xf numFmtId="0" fontId="18" fillId="0" borderId="21" xfId="1541" applyFont="1" applyBorder="1" applyAlignment="1">
      <alignment horizontal="left" vertical="center" shrinkToFit="1"/>
    </xf>
    <xf numFmtId="0" fontId="18" fillId="0" borderId="52" xfId="1541" applyFont="1" applyBorder="1" applyAlignment="1">
      <alignment horizontal="left" vertical="center" shrinkToFit="1"/>
    </xf>
    <xf numFmtId="0" fontId="18" fillId="0" borderId="32" xfId="1541" applyFont="1" applyBorder="1" applyAlignment="1">
      <alignment horizontal="left" vertical="center" shrinkToFit="1"/>
    </xf>
    <xf numFmtId="191" fontId="18" fillId="0" borderId="21" xfId="1541" applyNumberFormat="1" applyFont="1" applyBorder="1" applyAlignment="1">
      <alignment horizontal="right" vertical="center"/>
    </xf>
    <xf numFmtId="191" fontId="0" fillId="0" borderId="52" xfId="0" applyNumberFormat="1" applyBorder="1" applyAlignment="1">
      <alignment horizontal="right" vertical="center"/>
    </xf>
    <xf numFmtId="192" fontId="18" fillId="39" borderId="52" xfId="1541" applyNumberFormat="1" applyFont="1" applyFill="1" applyBorder="1" applyAlignment="1" applyProtection="1">
      <alignment horizontal="center" vertical="center" shrinkToFit="1"/>
      <protection locked="0"/>
    </xf>
    <xf numFmtId="192" fontId="0" fillId="39" borderId="52" xfId="0" applyNumberFormat="1" applyFill="1" applyBorder="1" applyAlignment="1">
      <alignment horizontal="center" vertical="center" shrinkToFit="1"/>
    </xf>
    <xf numFmtId="188" fontId="18" fillId="39" borderId="52" xfId="1541" applyNumberFormat="1" applyFont="1" applyFill="1" applyBorder="1" applyAlignment="1" applyProtection="1">
      <alignment horizontal="center" vertical="center" shrinkToFit="1"/>
      <protection locked="0"/>
    </xf>
    <xf numFmtId="189" fontId="18" fillId="39" borderId="52" xfId="1541" applyNumberFormat="1" applyFont="1" applyFill="1" applyBorder="1" applyAlignment="1" applyProtection="1">
      <alignment horizontal="center" vertical="center" shrinkToFit="1"/>
      <protection locked="0"/>
    </xf>
    <xf numFmtId="49" fontId="18" fillId="37" borderId="21" xfId="1541" applyNumberFormat="1" applyFont="1" applyFill="1" applyBorder="1" applyAlignment="1">
      <alignment horizontal="left" vertical="center"/>
    </xf>
    <xf numFmtId="49" fontId="18" fillId="37" borderId="52" xfId="1541" applyNumberFormat="1" applyFont="1" applyFill="1" applyBorder="1" applyAlignment="1">
      <alignment horizontal="left" vertical="center"/>
    </xf>
    <xf numFmtId="49" fontId="18" fillId="37" borderId="32" xfId="1541" applyNumberFormat="1" applyFont="1" applyFill="1" applyBorder="1" applyAlignment="1">
      <alignment horizontal="left" vertical="center"/>
    </xf>
    <xf numFmtId="49" fontId="18" fillId="37" borderId="21" xfId="1541" applyNumberFormat="1" applyFont="1" applyFill="1" applyBorder="1" applyAlignment="1" applyProtection="1">
      <alignment horizontal="center" vertical="center" shrinkToFit="1"/>
      <protection locked="0"/>
    </xf>
    <xf numFmtId="49" fontId="18" fillId="37" borderId="52" xfId="1541" applyNumberFormat="1" applyFont="1" applyFill="1" applyBorder="1" applyAlignment="1" applyProtection="1">
      <alignment horizontal="center" vertical="center" shrinkToFit="1"/>
      <protection locked="0"/>
    </xf>
    <xf numFmtId="49" fontId="18" fillId="37" borderId="32" xfId="1541" applyNumberFormat="1" applyFont="1" applyFill="1" applyBorder="1" applyAlignment="1" applyProtection="1">
      <alignment horizontal="center" vertical="center" shrinkToFit="1"/>
      <protection locked="0"/>
    </xf>
    <xf numFmtId="49" fontId="18" fillId="37" borderId="52" xfId="1541" applyNumberFormat="1" applyFont="1" applyFill="1" applyBorder="1" applyAlignment="1" applyProtection="1">
      <alignment horizontal="center" vertical="center" wrapText="1"/>
      <protection locked="0"/>
    </xf>
    <xf numFmtId="49" fontId="18" fillId="37" borderId="32" xfId="1541" applyNumberFormat="1" applyFont="1" applyFill="1" applyBorder="1" applyAlignment="1" applyProtection="1">
      <alignment horizontal="center" vertical="center" wrapText="1"/>
      <protection locked="0"/>
    </xf>
    <xf numFmtId="191" fontId="18" fillId="0" borderId="52" xfId="1541" applyNumberFormat="1" applyFont="1" applyBorder="1" applyAlignment="1">
      <alignment horizontal="right" vertical="center"/>
    </xf>
    <xf numFmtId="192" fontId="0" fillId="0" borderId="52" xfId="0" applyNumberFormat="1" applyBorder="1" applyAlignment="1">
      <alignment horizontal="center" vertical="center" shrinkToFit="1"/>
    </xf>
    <xf numFmtId="0" fontId="18" fillId="0" borderId="0" xfId="1541" applyFont="1" applyAlignment="1" applyProtection="1">
      <alignment horizontal="center" vertical="center" wrapText="1"/>
      <protection locked="0"/>
    </xf>
    <xf numFmtId="0" fontId="18" fillId="0" borderId="0" xfId="1541" applyFont="1" applyAlignment="1">
      <alignment horizontal="center" vertical="center"/>
    </xf>
    <xf numFmtId="0" fontId="18" fillId="0" borderId="14" xfId="1541" applyFont="1" applyBorder="1" applyAlignment="1">
      <alignment horizontal="left" vertical="center"/>
    </xf>
    <xf numFmtId="0" fontId="18" fillId="0" borderId="15" xfId="1541" applyFont="1" applyBorder="1" applyAlignment="1">
      <alignment horizontal="left" vertical="center"/>
    </xf>
    <xf numFmtId="0" fontId="18" fillId="40" borderId="21" xfId="1541" applyFont="1" applyFill="1" applyBorder="1" applyAlignment="1">
      <alignment horizontal="center" vertical="center"/>
    </xf>
    <xf numFmtId="0" fontId="18" fillId="40" borderId="52" xfId="1541" applyFont="1" applyFill="1" applyBorder="1" applyAlignment="1">
      <alignment horizontal="center" vertical="center"/>
    </xf>
    <xf numFmtId="0" fontId="18" fillId="40" borderId="32" xfId="1541" applyFont="1" applyFill="1" applyBorder="1" applyAlignment="1">
      <alignment horizontal="center" vertical="center"/>
    </xf>
    <xf numFmtId="0" fontId="18" fillId="0" borderId="21" xfId="1541" applyFont="1" applyBorder="1" applyAlignment="1">
      <alignment horizontal="left" vertical="center" wrapText="1"/>
    </xf>
    <xf numFmtId="0" fontId="18" fillId="0" borderId="52" xfId="1541" applyFont="1" applyBorder="1" applyAlignment="1">
      <alignment horizontal="left" vertical="center" wrapText="1"/>
    </xf>
    <xf numFmtId="0" fontId="18" fillId="37" borderId="21" xfId="1541" applyFont="1" applyFill="1" applyBorder="1" applyAlignment="1">
      <alignment horizontal="left" vertical="center" wrapText="1"/>
    </xf>
    <xf numFmtId="0" fontId="18" fillId="37" borderId="52" xfId="1541" applyFont="1" applyFill="1" applyBorder="1" applyAlignment="1">
      <alignment horizontal="left" vertical="center" wrapText="1"/>
    </xf>
    <xf numFmtId="0" fontId="18" fillId="37" borderId="72" xfId="1541" applyFont="1" applyFill="1" applyBorder="1" applyAlignment="1">
      <alignment horizontal="left" vertical="center" wrapText="1"/>
    </xf>
    <xf numFmtId="0" fontId="18" fillId="0" borderId="144" xfId="1541" applyFont="1" applyBorder="1" applyAlignment="1">
      <alignment horizontal="left" vertical="center"/>
    </xf>
    <xf numFmtId="0" fontId="18" fillId="0" borderId="11" xfId="1541" applyFont="1" applyBorder="1" applyAlignment="1">
      <alignment horizontal="left" vertical="center" wrapText="1"/>
    </xf>
    <xf numFmtId="0" fontId="18" fillId="0" borderId="145" xfId="1541" applyFont="1" applyBorder="1" applyAlignment="1">
      <alignment horizontal="left" vertical="center" wrapText="1"/>
    </xf>
    <xf numFmtId="0" fontId="18" fillId="0" borderId="144" xfId="1541" applyFont="1" applyBorder="1" applyAlignment="1">
      <alignment horizontal="left" vertical="center" wrapText="1"/>
    </xf>
    <xf numFmtId="0" fontId="18" fillId="0" borderId="14" xfId="1541" applyFont="1" applyBorder="1" applyAlignment="1">
      <alignment horizontal="left" vertical="center" wrapText="1"/>
    </xf>
    <xf numFmtId="0" fontId="18" fillId="0" borderId="46" xfId="1541" applyFont="1" applyBorder="1" applyAlignment="1">
      <alignment horizontal="left" vertical="center" wrapText="1"/>
    </xf>
    <xf numFmtId="0" fontId="18" fillId="0" borderId="22" xfId="1541" applyFont="1" applyBorder="1" applyAlignment="1">
      <alignment horizontal="left" vertical="center" wrapText="1"/>
    </xf>
    <xf numFmtId="0" fontId="18" fillId="39" borderId="21" xfId="1541" applyFont="1" applyFill="1" applyBorder="1" applyAlignment="1" applyProtection="1">
      <alignment horizontal="left" vertical="center" wrapText="1" shrinkToFit="1"/>
      <protection locked="0"/>
    </xf>
    <xf numFmtId="0" fontId="18" fillId="39" borderId="52" xfId="1541" applyFont="1" applyFill="1" applyBorder="1" applyAlignment="1" applyProtection="1">
      <alignment horizontal="left" vertical="center" wrapText="1" shrinkToFit="1"/>
      <protection locked="0"/>
    </xf>
    <xf numFmtId="0" fontId="0" fillId="39" borderId="52" xfId="0" applyFill="1" applyBorder="1" applyAlignment="1">
      <alignment horizontal="left" vertical="center" wrapText="1" shrinkToFit="1"/>
    </xf>
    <xf numFmtId="0" fontId="0" fillId="39" borderId="32" xfId="0" applyFill="1" applyBorder="1" applyAlignment="1">
      <alignment horizontal="left" vertical="center" wrapText="1" shrinkToFit="1"/>
    </xf>
    <xf numFmtId="0" fontId="18" fillId="40" borderId="21" xfId="1541" applyFont="1" applyFill="1" applyBorder="1" applyAlignment="1">
      <alignment horizontal="center" vertical="center" wrapText="1"/>
    </xf>
    <xf numFmtId="0" fontId="18" fillId="40" borderId="52" xfId="1541" applyFont="1" applyFill="1" applyBorder="1" applyAlignment="1">
      <alignment horizontal="center" vertical="center" wrapText="1"/>
    </xf>
    <xf numFmtId="0" fontId="18" fillId="40" borderId="72" xfId="1541" applyFont="1" applyFill="1" applyBorder="1" applyAlignment="1">
      <alignment horizontal="center" vertical="center" wrapText="1"/>
    </xf>
    <xf numFmtId="0" fontId="18" fillId="40" borderId="73" xfId="1541" applyFont="1" applyFill="1" applyBorder="1" applyAlignment="1">
      <alignment horizontal="center" vertical="center" wrapText="1"/>
    </xf>
    <xf numFmtId="0" fontId="18" fillId="40" borderId="32" xfId="1541" applyFont="1" applyFill="1" applyBorder="1" applyAlignment="1">
      <alignment horizontal="center" vertical="center" wrapText="1"/>
    </xf>
    <xf numFmtId="0" fontId="18" fillId="0" borderId="52" xfId="1541" applyFont="1" applyBorder="1" applyAlignment="1">
      <alignment horizontal="center" vertical="center" wrapText="1"/>
    </xf>
    <xf numFmtId="0" fontId="0" fillId="0" borderId="52" xfId="0" applyBorder="1" applyAlignment="1">
      <alignment horizontal="center" vertical="center" wrapText="1"/>
    </xf>
    <xf numFmtId="0" fontId="0" fillId="0" borderId="72" xfId="0" applyBorder="1" applyAlignment="1">
      <alignment horizontal="center" vertical="center" wrapText="1"/>
    </xf>
    <xf numFmtId="0" fontId="0" fillId="0" borderId="32" xfId="0" applyBorder="1" applyAlignment="1">
      <alignment horizontal="center" vertical="center" wrapText="1"/>
    </xf>
    <xf numFmtId="0" fontId="18" fillId="37" borderId="73" xfId="1541" applyFont="1" applyFill="1" applyBorder="1" applyAlignment="1">
      <alignment horizontal="left" vertical="center" wrapText="1"/>
    </xf>
    <xf numFmtId="0" fontId="18" fillId="37" borderId="32" xfId="1541" applyFont="1" applyFill="1" applyBorder="1" applyAlignment="1">
      <alignment horizontal="left" vertical="center" wrapText="1"/>
    </xf>
    <xf numFmtId="0" fontId="18" fillId="0" borderId="11" xfId="1541" applyFont="1" applyBorder="1" applyAlignment="1">
      <alignment horizontal="left" vertical="center" wrapText="1" shrinkToFit="1"/>
    </xf>
    <xf numFmtId="0" fontId="18" fillId="0" borderId="145" xfId="1541" applyFont="1" applyBorder="1" applyAlignment="1">
      <alignment horizontal="left" vertical="center" shrinkToFit="1"/>
    </xf>
    <xf numFmtId="0" fontId="18" fillId="0" borderId="13" xfId="1541" applyFont="1" applyBorder="1" applyAlignment="1">
      <alignment horizontal="left" vertical="center" shrinkToFit="1"/>
    </xf>
    <xf numFmtId="0" fontId="18" fillId="0" borderId="0" xfId="1541" applyFont="1" applyAlignment="1">
      <alignment horizontal="left" vertical="center" shrinkToFit="1"/>
    </xf>
    <xf numFmtId="0" fontId="18" fillId="40" borderId="11" xfId="1541" applyFont="1" applyFill="1" applyBorder="1" applyAlignment="1">
      <alignment horizontal="center" vertical="center"/>
    </xf>
    <xf numFmtId="0" fontId="18" fillId="40" borderId="145" xfId="1541" applyFont="1" applyFill="1" applyBorder="1" applyAlignment="1">
      <alignment horizontal="center" vertical="center"/>
    </xf>
    <xf numFmtId="0" fontId="18" fillId="40" borderId="74" xfId="1541" applyFont="1" applyFill="1" applyBorder="1" applyAlignment="1">
      <alignment horizontal="center" vertical="center"/>
    </xf>
    <xf numFmtId="0" fontId="18" fillId="40" borderId="14" xfId="1541" applyFont="1" applyFill="1" applyBorder="1" applyAlignment="1">
      <alignment horizontal="center" vertical="center"/>
    </xf>
    <xf numFmtId="0" fontId="18" fillId="40" borderId="46" xfId="1541" applyFont="1" applyFill="1" applyBorder="1" applyAlignment="1">
      <alignment horizontal="center" vertical="center"/>
    </xf>
    <xf numFmtId="0" fontId="18" fillId="40" borderId="76" xfId="1541" applyFont="1" applyFill="1" applyBorder="1" applyAlignment="1">
      <alignment horizontal="center" vertical="center"/>
    </xf>
    <xf numFmtId="0" fontId="18" fillId="40" borderId="75" xfId="1541" applyFont="1" applyFill="1" applyBorder="1" applyAlignment="1">
      <alignment horizontal="center" vertical="center"/>
    </xf>
    <xf numFmtId="0" fontId="18" fillId="40" borderId="77" xfId="1541" applyFont="1" applyFill="1" applyBorder="1" applyAlignment="1">
      <alignment horizontal="center" vertical="center"/>
    </xf>
    <xf numFmtId="0" fontId="18" fillId="40" borderId="144" xfId="1541" applyFont="1" applyFill="1" applyBorder="1" applyAlignment="1">
      <alignment horizontal="center" vertical="center"/>
    </xf>
    <xf numFmtId="0" fontId="18" fillId="40" borderId="22" xfId="1541" applyFont="1" applyFill="1" applyBorder="1" applyAlignment="1">
      <alignment horizontal="center" vertical="center"/>
    </xf>
    <xf numFmtId="194" fontId="18" fillId="37" borderId="52" xfId="1541" applyNumberFormat="1" applyFont="1" applyFill="1" applyBorder="1" applyAlignment="1" applyProtection="1">
      <alignment horizontal="center" vertical="center" shrinkToFit="1"/>
      <protection locked="0"/>
    </xf>
    <xf numFmtId="181" fontId="18" fillId="0" borderId="0" xfId="1541" applyNumberFormat="1" applyFont="1" applyAlignment="1" applyProtection="1">
      <alignment horizontal="center" vertical="center" shrinkToFit="1"/>
      <protection locked="0"/>
    </xf>
    <xf numFmtId="194" fontId="18" fillId="39" borderId="46" xfId="1541" applyNumberFormat="1" applyFont="1" applyFill="1" applyBorder="1" applyAlignment="1" applyProtection="1">
      <alignment horizontal="center" vertical="center" shrinkToFit="1"/>
      <protection locked="0"/>
    </xf>
    <xf numFmtId="0" fontId="18" fillId="0" borderId="46" xfId="1541" applyFont="1" applyBorder="1" applyAlignment="1">
      <alignment horizontal="center" vertical="center"/>
    </xf>
    <xf numFmtId="194" fontId="18" fillId="39" borderId="0" xfId="1541" applyNumberFormat="1" applyFont="1" applyFill="1" applyAlignment="1">
      <alignment horizontal="center" vertical="center"/>
    </xf>
    <xf numFmtId="0" fontId="18" fillId="0" borderId="13" xfId="1541" applyFont="1" applyBorder="1" applyAlignment="1">
      <alignment horizontal="left" vertical="center" wrapText="1"/>
    </xf>
    <xf numFmtId="0" fontId="18" fillId="0" borderId="0" xfId="1541" applyFont="1" applyAlignment="1">
      <alignment horizontal="left" vertical="center" wrapText="1"/>
    </xf>
    <xf numFmtId="0" fontId="18" fillId="0" borderId="15" xfId="1541" applyFont="1" applyBorder="1" applyAlignment="1">
      <alignment horizontal="left" vertical="center" wrapText="1"/>
    </xf>
    <xf numFmtId="183" fontId="18" fillId="0" borderId="21" xfId="1541" applyNumberFormat="1" applyFont="1" applyBorder="1" applyAlignment="1" applyProtection="1">
      <alignment horizontal="left" vertical="center" shrinkToFit="1"/>
      <protection locked="0"/>
    </xf>
    <xf numFmtId="183" fontId="18" fillId="0" borderId="52" xfId="1541" applyNumberFormat="1" applyFont="1" applyBorder="1" applyAlignment="1" applyProtection="1">
      <alignment horizontal="left" vertical="center" shrinkToFit="1"/>
      <protection locked="0"/>
    </xf>
    <xf numFmtId="183" fontId="18" fillId="0" borderId="32" xfId="1541" applyNumberFormat="1" applyFont="1" applyBorder="1" applyAlignment="1" applyProtection="1">
      <alignment horizontal="left" vertical="center" shrinkToFit="1"/>
      <protection locked="0"/>
    </xf>
    <xf numFmtId="183" fontId="18" fillId="40" borderId="52" xfId="1541" applyNumberFormat="1" applyFont="1" applyFill="1" applyBorder="1" applyAlignment="1" applyProtection="1">
      <alignment horizontal="center" vertical="center" shrinkToFit="1"/>
      <protection locked="0"/>
    </xf>
    <xf numFmtId="183" fontId="18" fillId="40" borderId="72" xfId="1541" applyNumberFormat="1" applyFont="1" applyFill="1" applyBorder="1" applyAlignment="1" applyProtection="1">
      <alignment horizontal="center" vertical="center" shrinkToFit="1"/>
      <protection locked="0"/>
    </xf>
    <xf numFmtId="183" fontId="18" fillId="40" borderId="21" xfId="1541" applyNumberFormat="1" applyFont="1" applyFill="1" applyBorder="1" applyAlignment="1" applyProtection="1">
      <alignment horizontal="center" vertical="center" shrinkToFit="1"/>
      <protection locked="0"/>
    </xf>
    <xf numFmtId="183" fontId="18" fillId="40" borderId="32" xfId="1541" applyNumberFormat="1" applyFont="1" applyFill="1" applyBorder="1" applyAlignment="1" applyProtection="1">
      <alignment horizontal="center" vertical="center" shrinkToFit="1"/>
      <protection locked="0"/>
    </xf>
    <xf numFmtId="194" fontId="18" fillId="37" borderId="21" xfId="1541" applyNumberFormat="1" applyFont="1" applyFill="1" applyBorder="1" applyAlignment="1">
      <alignment horizontal="center" vertical="center"/>
    </xf>
    <xf numFmtId="194" fontId="18" fillId="37" borderId="52" xfId="1541" applyNumberFormat="1" applyFont="1" applyFill="1" applyBorder="1" applyAlignment="1">
      <alignment horizontal="center" vertical="center"/>
    </xf>
    <xf numFmtId="181" fontId="18" fillId="0" borderId="46" xfId="1541" applyNumberFormat="1" applyFont="1" applyBorder="1" applyAlignment="1" applyProtection="1">
      <alignment horizontal="center" vertical="center" shrinkToFit="1"/>
      <protection locked="0"/>
    </xf>
    <xf numFmtId="0" fontId="18" fillId="0" borderId="11" xfId="1541" applyFont="1" applyBorder="1" applyAlignment="1">
      <alignment horizontal="left" vertical="center" shrinkToFit="1"/>
    </xf>
    <xf numFmtId="0" fontId="18" fillId="0" borderId="14" xfId="1541" applyFont="1" applyBorder="1" applyAlignment="1">
      <alignment horizontal="left" vertical="center" shrinkToFit="1"/>
    </xf>
    <xf numFmtId="0" fontId="18" fillId="0" borderId="46" xfId="1541" applyFont="1" applyBorder="1" applyAlignment="1">
      <alignment horizontal="left" vertical="center" shrinkToFit="1"/>
    </xf>
    <xf numFmtId="0" fontId="18" fillId="0" borderId="13" xfId="1541" applyFont="1" applyBorder="1" applyAlignment="1">
      <alignment horizontal="center" vertical="center"/>
    </xf>
    <xf numFmtId="194" fontId="18" fillId="39" borderId="52" xfId="1541" applyNumberFormat="1" applyFont="1" applyFill="1" applyBorder="1" applyAlignment="1" applyProtection="1">
      <alignment vertical="center" shrinkToFit="1"/>
      <protection locked="0"/>
    </xf>
    <xf numFmtId="194" fontId="0" fillId="39" borderId="52" xfId="0" applyNumberFormat="1" applyFill="1" applyBorder="1" applyAlignment="1">
      <alignment vertical="center" shrinkToFit="1"/>
    </xf>
    <xf numFmtId="195" fontId="18" fillId="37" borderId="21" xfId="1541" applyNumberFormat="1" applyFont="1" applyFill="1" applyBorder="1" applyAlignment="1" applyProtection="1">
      <alignment horizontal="center" vertical="center"/>
      <protection locked="0"/>
    </xf>
    <xf numFmtId="195" fontId="18" fillId="37" borderId="52" xfId="1541" applyNumberFormat="1" applyFont="1" applyFill="1" applyBorder="1" applyAlignment="1" applyProtection="1">
      <alignment horizontal="center" vertical="center"/>
      <protection locked="0"/>
    </xf>
    <xf numFmtId="195" fontId="18" fillId="37" borderId="32" xfId="1541" applyNumberFormat="1" applyFont="1" applyFill="1" applyBorder="1" applyAlignment="1" applyProtection="1">
      <alignment horizontal="center" vertical="center"/>
      <protection locked="0"/>
    </xf>
    <xf numFmtId="181" fontId="18" fillId="0" borderId="145" xfId="1541" applyNumberFormat="1" applyFont="1" applyBorder="1" applyAlignment="1" applyProtection="1">
      <alignment horizontal="center" vertical="center" shrinkToFit="1"/>
      <protection locked="0"/>
    </xf>
    <xf numFmtId="0" fontId="18" fillId="0" borderId="144" xfId="1541" applyFont="1" applyBorder="1" applyAlignment="1">
      <alignment horizontal="left" vertical="center" shrinkToFit="1"/>
    </xf>
    <xf numFmtId="0" fontId="18" fillId="0" borderId="22" xfId="1541" applyFont="1" applyBorder="1" applyAlignment="1">
      <alignment horizontal="left" vertical="center" shrinkToFit="1"/>
    </xf>
    <xf numFmtId="0" fontId="18" fillId="0" borderId="72" xfId="1541" applyFont="1" applyBorder="1" applyAlignment="1">
      <alignment horizontal="left" vertical="center"/>
    </xf>
    <xf numFmtId="194" fontId="18" fillId="37" borderId="52" xfId="1541" applyNumberFormat="1" applyFont="1" applyFill="1" applyBorder="1" applyAlignment="1" applyProtection="1">
      <alignment horizontal="center" vertical="center"/>
      <protection locked="0"/>
    </xf>
    <xf numFmtId="0" fontId="18" fillId="0" borderId="12" xfId="1541" applyFont="1" applyBorder="1" applyAlignment="1">
      <alignment horizontal="left" vertical="center" wrapText="1"/>
    </xf>
    <xf numFmtId="194" fontId="18" fillId="37" borderId="73" xfId="1541" applyNumberFormat="1" applyFont="1" applyFill="1" applyBorder="1" applyAlignment="1">
      <alignment horizontal="center" vertical="center"/>
    </xf>
    <xf numFmtId="0" fontId="18" fillId="0" borderId="32" xfId="1541" applyFont="1" applyBorder="1" applyAlignment="1">
      <alignment horizontal="left" vertical="center" wrapText="1"/>
    </xf>
    <xf numFmtId="194" fontId="18" fillId="37" borderId="21" xfId="1541" applyNumberFormat="1" applyFont="1" applyFill="1" applyBorder="1" applyAlignment="1" applyProtection="1">
      <alignment horizontal="center" vertical="center" shrinkToFit="1"/>
      <protection locked="0"/>
    </xf>
    <xf numFmtId="0" fontId="15" fillId="39" borderId="0" xfId="56" applyFont="1" applyFill="1" applyAlignment="1">
      <alignment horizontal="right" vertical="center"/>
    </xf>
    <xf numFmtId="0" fontId="15" fillId="0" borderId="0" xfId="56" applyFont="1" applyAlignment="1">
      <alignment horizontal="center" vertical="center"/>
    </xf>
    <xf numFmtId="0" fontId="20" fillId="0" borderId="106" xfId="56" applyFont="1" applyBorder="1" applyAlignment="1">
      <alignment horizontal="center" vertical="center"/>
    </xf>
    <xf numFmtId="0" fontId="20" fillId="0" borderId="107" xfId="56" applyFont="1" applyBorder="1" applyAlignment="1">
      <alignment horizontal="center" vertical="center"/>
    </xf>
    <xf numFmtId="0" fontId="20" fillId="0" borderId="108" xfId="56" applyFont="1" applyBorder="1" applyAlignment="1">
      <alignment horizontal="center" vertical="center"/>
    </xf>
    <xf numFmtId="0" fontId="20" fillId="0" borderId="109" xfId="56" applyFont="1" applyBorder="1" applyAlignment="1">
      <alignment horizontal="center" vertical="center"/>
    </xf>
    <xf numFmtId="0" fontId="20" fillId="0" borderId="110" xfId="56" applyFont="1" applyBorder="1" applyAlignment="1">
      <alignment horizontal="center" vertical="center"/>
    </xf>
    <xf numFmtId="0" fontId="20" fillId="0" borderId="111" xfId="56" applyFont="1" applyBorder="1" applyAlignment="1">
      <alignment horizontal="center" vertical="center"/>
    </xf>
    <xf numFmtId="0" fontId="20" fillId="0" borderId="112" xfId="56" applyFont="1" applyBorder="1" applyAlignment="1">
      <alignment horizontal="center" vertical="center"/>
    </xf>
    <xf numFmtId="0" fontId="20" fillId="0" borderId="113" xfId="56" applyFont="1" applyBorder="1" applyAlignment="1">
      <alignment horizontal="center" vertical="center"/>
    </xf>
    <xf numFmtId="0" fontId="20" fillId="0" borderId="114" xfId="56" applyFont="1" applyBorder="1" applyAlignment="1">
      <alignment horizontal="center" vertical="center"/>
    </xf>
    <xf numFmtId="0" fontId="20" fillId="0" borderId="12" xfId="56" applyFont="1" applyBorder="1" applyAlignment="1">
      <alignment vertical="center" wrapText="1"/>
    </xf>
    <xf numFmtId="0" fontId="19" fillId="0" borderId="12" xfId="56" applyFont="1" applyBorder="1" applyAlignment="1">
      <alignment horizontal="center" vertical="center"/>
    </xf>
    <xf numFmtId="0" fontId="19" fillId="0" borderId="12" xfId="56" applyFont="1" applyBorder="1" applyAlignment="1">
      <alignment horizontal="left" vertical="center" wrapText="1"/>
    </xf>
    <xf numFmtId="0" fontId="19" fillId="0" borderId="11" xfId="56" applyFont="1" applyBorder="1" applyAlignment="1">
      <alignment horizontal="left" vertical="center" wrapText="1"/>
    </xf>
    <xf numFmtId="0" fontId="19" fillId="0" borderId="145" xfId="56" applyFont="1" applyBorder="1" applyAlignment="1">
      <alignment horizontal="left" vertical="center" wrapText="1"/>
    </xf>
    <xf numFmtId="0" fontId="19" fillId="0" borderId="144" xfId="56" applyFont="1" applyBorder="1" applyAlignment="1">
      <alignment horizontal="left" vertical="center" wrapText="1"/>
    </xf>
    <xf numFmtId="0" fontId="19" fillId="0" borderId="13" xfId="56" applyFont="1" applyBorder="1" applyAlignment="1">
      <alignment horizontal="left" vertical="center" wrapText="1"/>
    </xf>
    <xf numFmtId="0" fontId="19" fillId="0" borderId="0" xfId="56" applyFont="1" applyAlignment="1">
      <alignment horizontal="left" vertical="center" wrapText="1"/>
    </xf>
    <xf numFmtId="0" fontId="19" fillId="0" borderId="15" xfId="56" applyFont="1" applyBorder="1" applyAlignment="1">
      <alignment horizontal="left" vertical="center" wrapText="1"/>
    </xf>
    <xf numFmtId="0" fontId="19" fillId="0" borderId="14" xfId="56" applyFont="1" applyBorder="1" applyAlignment="1">
      <alignment horizontal="left" vertical="center" wrapText="1"/>
    </xf>
    <xf numFmtId="0" fontId="19" fillId="0" borderId="46" xfId="56" applyFont="1" applyBorder="1" applyAlignment="1">
      <alignment horizontal="left" vertical="center" wrapText="1"/>
    </xf>
    <xf numFmtId="0" fontId="19" fillId="0" borderId="22" xfId="56" applyFont="1" applyBorder="1" applyAlignment="1">
      <alignment horizontal="left" vertical="center" wrapText="1"/>
    </xf>
    <xf numFmtId="0" fontId="20" fillId="37" borderId="12" xfId="56" applyFont="1" applyFill="1" applyBorder="1" applyAlignment="1">
      <alignment horizontal="center" vertical="center" wrapText="1"/>
    </xf>
    <xf numFmtId="0" fontId="20" fillId="37" borderId="12" xfId="56" applyFont="1" applyFill="1" applyBorder="1" applyAlignment="1">
      <alignment horizontal="center" vertical="center"/>
    </xf>
    <xf numFmtId="0" fontId="20" fillId="0" borderId="12" xfId="56" applyFont="1" applyBorder="1" applyAlignment="1">
      <alignment horizontal="left" vertical="top" wrapText="1"/>
    </xf>
    <xf numFmtId="0" fontId="20" fillId="37" borderId="11" xfId="56" applyFont="1" applyFill="1" applyBorder="1" applyAlignment="1">
      <alignment horizontal="center" vertical="center" wrapText="1"/>
    </xf>
    <xf numFmtId="0" fontId="20" fillId="37" borderId="145" xfId="56" applyFont="1" applyFill="1" applyBorder="1" applyAlignment="1">
      <alignment horizontal="center" vertical="center"/>
    </xf>
    <xf numFmtId="0" fontId="20" fillId="37" borderId="144" xfId="56" applyFont="1" applyFill="1" applyBorder="1" applyAlignment="1">
      <alignment horizontal="center" vertical="center"/>
    </xf>
    <xf numFmtId="0" fontId="20" fillId="37" borderId="14" xfId="56" applyFont="1" applyFill="1" applyBorder="1" applyAlignment="1">
      <alignment horizontal="center" vertical="center"/>
    </xf>
    <xf numFmtId="0" fontId="20" fillId="37" borderId="46" xfId="56" applyFont="1" applyFill="1" applyBorder="1" applyAlignment="1">
      <alignment horizontal="center" vertical="center"/>
    </xf>
    <xf numFmtId="0" fontId="20" fillId="37" borderId="22" xfId="56" applyFont="1" applyFill="1" applyBorder="1" applyAlignment="1">
      <alignment horizontal="center" vertical="center"/>
    </xf>
    <xf numFmtId="0" fontId="20" fillId="0" borderId="12" xfId="56" applyFont="1" applyBorder="1" applyAlignment="1">
      <alignment horizontal="center" vertical="center"/>
    </xf>
    <xf numFmtId="0" fontId="20" fillId="37" borderId="11" xfId="56" applyFont="1" applyFill="1" applyBorder="1" applyAlignment="1">
      <alignment horizontal="center" vertical="center"/>
    </xf>
    <xf numFmtId="0" fontId="20" fillId="37" borderId="13" xfId="56" applyFont="1" applyFill="1" applyBorder="1" applyAlignment="1">
      <alignment horizontal="center" vertical="center"/>
    </xf>
    <xf numFmtId="0" fontId="20" fillId="37" borderId="0" xfId="56" applyFont="1" applyFill="1" applyAlignment="1">
      <alignment horizontal="center" vertical="center"/>
    </xf>
    <xf numFmtId="0" fontId="20" fillId="37" borderId="15" xfId="56" applyFont="1" applyFill="1" applyBorder="1" applyAlignment="1">
      <alignment horizontal="center" vertical="center"/>
    </xf>
    <xf numFmtId="0" fontId="20" fillId="0" borderId="11" xfId="56" applyFont="1" applyBorder="1" applyAlignment="1">
      <alignment horizontal="left" vertical="top" wrapText="1"/>
    </xf>
    <xf numFmtId="0" fontId="20" fillId="0" borderId="145" xfId="56" applyFont="1" applyBorder="1" applyAlignment="1">
      <alignment horizontal="left" vertical="top" wrapText="1"/>
    </xf>
    <xf numFmtId="0" fontId="20" fillId="0" borderId="144" xfId="56" applyFont="1" applyBorder="1" applyAlignment="1">
      <alignment horizontal="left" vertical="top" wrapText="1"/>
    </xf>
    <xf numFmtId="0" fontId="20" fillId="0" borderId="14" xfId="56" applyFont="1" applyBorder="1" applyAlignment="1">
      <alignment horizontal="left" vertical="top" wrapText="1"/>
    </xf>
    <xf numFmtId="0" fontId="20" fillId="0" borderId="46" xfId="56" applyFont="1" applyBorder="1" applyAlignment="1">
      <alignment horizontal="left" vertical="top" wrapText="1"/>
    </xf>
    <xf numFmtId="0" fontId="20" fillId="0" borderId="22" xfId="56" applyFont="1" applyBorder="1" applyAlignment="1">
      <alignment horizontal="left" vertical="top" wrapText="1"/>
    </xf>
    <xf numFmtId="177" fontId="9" fillId="37" borderId="46" xfId="0" applyNumberFormat="1" applyFont="1" applyFill="1" applyBorder="1" applyAlignment="1">
      <alignment horizontal="right" vertical="center"/>
    </xf>
    <xf numFmtId="0" fontId="9" fillId="34" borderId="46" xfId="0" applyFont="1" applyFill="1" applyBorder="1" applyAlignment="1">
      <alignment horizontal="center" vertical="center"/>
    </xf>
    <xf numFmtId="0" fontId="9" fillId="0" borderId="0" xfId="0" applyFont="1" applyAlignment="1">
      <alignment horizontal="center" vertical="center"/>
    </xf>
    <xf numFmtId="0" fontId="9" fillId="34" borderId="0" xfId="0" applyFont="1" applyFill="1" applyAlignment="1">
      <alignment horizontal="left" vertical="center"/>
    </xf>
    <xf numFmtId="0" fontId="9" fillId="34" borderId="0" xfId="0" applyFont="1" applyFill="1" applyAlignment="1">
      <alignment horizontal="center" vertical="center"/>
    </xf>
    <xf numFmtId="0" fontId="9" fillId="34" borderId="46" xfId="0" applyFont="1" applyFill="1" applyBorder="1" applyAlignment="1">
      <alignment horizontal="left" vertical="center"/>
    </xf>
    <xf numFmtId="0" fontId="9" fillId="34" borderId="145" xfId="0" applyFont="1" applyFill="1" applyBorder="1" applyAlignment="1">
      <alignment horizontal="left" wrapText="1"/>
    </xf>
    <xf numFmtId="0" fontId="9" fillId="34" borderId="0" xfId="0" applyFont="1" applyFill="1" applyAlignment="1">
      <alignment horizontal="left" wrapText="1"/>
    </xf>
    <xf numFmtId="0" fontId="9" fillId="34" borderId="46" xfId="0" applyFont="1" applyFill="1" applyBorder="1" applyAlignment="1">
      <alignment horizontal="left" wrapText="1"/>
    </xf>
    <xf numFmtId="177" fontId="9" fillId="37" borderId="52" xfId="0" applyNumberFormat="1" applyFont="1" applyFill="1" applyBorder="1" applyAlignment="1">
      <alignment horizontal="right" vertical="center"/>
    </xf>
    <xf numFmtId="178" fontId="9" fillId="34" borderId="46" xfId="0" applyNumberFormat="1" applyFont="1" applyFill="1" applyBorder="1" applyAlignment="1">
      <alignment horizontal="center" vertical="center"/>
    </xf>
    <xf numFmtId="0" fontId="9" fillId="37" borderId="52" xfId="0" applyFont="1" applyFill="1" applyBorder="1" applyAlignment="1">
      <alignment horizontal="center" vertical="center"/>
    </xf>
    <xf numFmtId="0" fontId="9" fillId="37" borderId="46" xfId="0" applyFont="1" applyFill="1" applyBorder="1" applyAlignment="1">
      <alignment horizontal="center" vertical="center"/>
    </xf>
    <xf numFmtId="178" fontId="9" fillId="37" borderId="46" xfId="0" applyNumberFormat="1" applyFont="1" applyFill="1" applyBorder="1" applyAlignment="1">
      <alignment horizontal="center" vertical="center"/>
    </xf>
    <xf numFmtId="0" fontId="9" fillId="0" borderId="48" xfId="0" applyFont="1" applyBorder="1" applyAlignment="1">
      <alignment horizontal="center" vertical="top"/>
    </xf>
    <xf numFmtId="0" fontId="9" fillId="0" borderId="0" xfId="0" applyFont="1" applyAlignment="1">
      <alignment horizontal="center" vertical="top"/>
    </xf>
    <xf numFmtId="0" fontId="9" fillId="0" borderId="11" xfId="0" applyFont="1" applyBorder="1" applyAlignment="1">
      <alignment horizontal="center" vertical="center"/>
    </xf>
    <xf numFmtId="0" fontId="9" fillId="0" borderId="145" xfId="0" applyFont="1" applyBorder="1" applyAlignment="1">
      <alignment horizontal="center" vertical="center"/>
    </xf>
    <xf numFmtId="0" fontId="9" fillId="0" borderId="14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46" xfId="0" applyFont="1" applyBorder="1" applyAlignment="1">
      <alignment horizontal="right" vertical="center"/>
    </xf>
    <xf numFmtId="0" fontId="8" fillId="0" borderId="11" xfId="0" applyFont="1" applyBorder="1" applyAlignment="1">
      <alignment horizontal="center" vertical="center"/>
    </xf>
    <xf numFmtId="0" fontId="8" fillId="0" borderId="144" xfId="0" applyFont="1" applyBorder="1" applyAlignment="1">
      <alignment horizontal="center" vertical="center"/>
    </xf>
    <xf numFmtId="0" fontId="8" fillId="37" borderId="0" xfId="0" applyFont="1" applyFill="1" applyAlignment="1">
      <alignment horizontal="center" vertical="center"/>
    </xf>
    <xf numFmtId="0" fontId="8" fillId="37" borderId="15" xfId="0" applyFont="1" applyFill="1" applyBorder="1" applyAlignment="1">
      <alignment horizontal="center" vertical="center"/>
    </xf>
    <xf numFmtId="0" fontId="8" fillId="34" borderId="0" xfId="0" applyFont="1" applyFill="1" applyAlignment="1">
      <alignment horizontal="left" vertical="center"/>
    </xf>
    <xf numFmtId="0" fontId="8" fillId="0" borderId="14" xfId="0" applyFont="1" applyBorder="1" applyAlignment="1">
      <alignment horizontal="center" vertical="center"/>
    </xf>
    <xf numFmtId="0" fontId="8" fillId="0" borderId="46" xfId="0" applyFont="1" applyBorder="1" applyAlignment="1">
      <alignment horizontal="center" vertical="center"/>
    </xf>
    <xf numFmtId="0" fontId="8" fillId="0" borderId="22" xfId="0" applyFont="1" applyBorder="1" applyAlignment="1">
      <alignment horizontal="center" vertical="center"/>
    </xf>
    <xf numFmtId="0" fontId="8" fillId="0" borderId="145" xfId="0" applyFont="1" applyBorder="1" applyAlignment="1">
      <alignment horizontal="left" vertical="center" wrapText="1"/>
    </xf>
    <xf numFmtId="0" fontId="8" fillId="0" borderId="144" xfId="0" applyFont="1" applyBorder="1" applyAlignment="1">
      <alignment horizontal="left" vertical="center" wrapText="1"/>
    </xf>
    <xf numFmtId="0" fontId="8" fillId="0" borderId="46" xfId="0" applyFont="1" applyBorder="1" applyAlignment="1">
      <alignment horizontal="left" vertical="center" wrapText="1"/>
    </xf>
    <xf numFmtId="0" fontId="8" fillId="0" borderId="22" xfId="0" applyFont="1" applyBorder="1" applyAlignment="1">
      <alignment horizontal="left" vertical="center" wrapText="1"/>
    </xf>
    <xf numFmtId="182" fontId="12" fillId="37" borderId="145" xfId="0" applyNumberFormat="1" applyFont="1" applyFill="1" applyBorder="1" applyAlignment="1">
      <alignment horizontal="right" vertical="center"/>
    </xf>
    <xf numFmtId="182" fontId="12" fillId="37" borderId="144" xfId="0" applyNumberFormat="1" applyFont="1" applyFill="1" applyBorder="1" applyAlignment="1">
      <alignment horizontal="right" vertical="center"/>
    </xf>
    <xf numFmtId="182" fontId="12" fillId="37" borderId="46" xfId="0" applyNumberFormat="1" applyFont="1" applyFill="1" applyBorder="1" applyAlignment="1">
      <alignment horizontal="right" vertical="center"/>
    </xf>
    <xf numFmtId="182" fontId="12" fillId="37" borderId="22" xfId="0" applyNumberFormat="1" applyFont="1" applyFill="1" applyBorder="1" applyAlignment="1">
      <alignment horizontal="right" vertical="center"/>
    </xf>
    <xf numFmtId="0" fontId="8" fillId="34" borderId="0" xfId="0" applyFont="1" applyFill="1" applyAlignment="1">
      <alignment horizontal="center" vertical="center"/>
    </xf>
    <xf numFmtId="0" fontId="8" fillId="0" borderId="0" xfId="0" applyFont="1" applyAlignment="1">
      <alignment horizontal="center" vertical="center"/>
    </xf>
    <xf numFmtId="0" fontId="76" fillId="0" borderId="11" xfId="0" applyFont="1" applyBorder="1" applyAlignment="1">
      <alignment horizontal="right" vertical="center" wrapText="1"/>
    </xf>
    <xf numFmtId="0" fontId="76" fillId="0" borderId="145" xfId="0" applyFont="1" applyBorder="1" applyAlignment="1">
      <alignment horizontal="right" vertical="center" wrapText="1"/>
    </xf>
    <xf numFmtId="0" fontId="76" fillId="0" borderId="14" xfId="0" applyFont="1" applyBorder="1" applyAlignment="1">
      <alignment horizontal="right" vertical="center" wrapText="1"/>
    </xf>
    <xf numFmtId="0" fontId="76" fillId="0" borderId="46" xfId="0" applyFont="1" applyBorder="1" applyAlignment="1">
      <alignment horizontal="right" vertical="center" wrapText="1"/>
    </xf>
    <xf numFmtId="0" fontId="76" fillId="37" borderId="145" xfId="0" applyFont="1" applyFill="1" applyBorder="1" applyAlignment="1">
      <alignment horizontal="left" vertical="center"/>
    </xf>
    <xf numFmtId="0" fontId="76" fillId="37" borderId="46" xfId="0" applyFont="1" applyFill="1" applyBorder="1" applyAlignment="1">
      <alignment horizontal="left" vertical="center"/>
    </xf>
    <xf numFmtId="0" fontId="76" fillId="0" borderId="145" xfId="0" applyFont="1" applyBorder="1" applyAlignment="1">
      <alignment horizontal="right" vertical="center"/>
    </xf>
    <xf numFmtId="0" fontId="76" fillId="0" borderId="46" xfId="0" applyFont="1" applyBorder="1" applyAlignment="1">
      <alignment horizontal="right" vertical="center"/>
    </xf>
    <xf numFmtId="0" fontId="8" fillId="34" borderId="13" xfId="0" applyFont="1" applyFill="1" applyBorder="1" applyAlignment="1">
      <alignment horizontal="left" vertical="center"/>
    </xf>
    <xf numFmtId="0" fontId="0" fillId="0" borderId="145" xfId="0" applyBorder="1">
      <alignment vertical="center"/>
    </xf>
    <xf numFmtId="0" fontId="0" fillId="0" borderId="144" xfId="0" applyBorder="1">
      <alignment vertical="center"/>
    </xf>
    <xf numFmtId="0" fontId="0" fillId="0" borderId="15" xfId="0" applyBorder="1">
      <alignment vertical="center"/>
    </xf>
    <xf numFmtId="0" fontId="0" fillId="0" borderId="46" xfId="0" applyBorder="1">
      <alignment vertical="center"/>
    </xf>
    <xf numFmtId="0" fontId="0" fillId="0" borderId="22" xfId="0" applyBorder="1">
      <alignment vertical="center"/>
    </xf>
    <xf numFmtId="0" fontId="8" fillId="34" borderId="11" xfId="0" applyFont="1" applyFill="1" applyBorder="1" applyAlignment="1">
      <alignment horizontal="left" vertical="top" wrapText="1"/>
    </xf>
    <xf numFmtId="0" fontId="8" fillId="34" borderId="145" xfId="0" applyFont="1" applyFill="1" applyBorder="1" applyAlignment="1">
      <alignment horizontal="left" vertical="top" wrapText="1"/>
    </xf>
    <xf numFmtId="0" fontId="8" fillId="34" borderId="144" xfId="0" applyFont="1" applyFill="1" applyBorder="1" applyAlignment="1">
      <alignment horizontal="left" vertical="top" wrapText="1"/>
    </xf>
    <xf numFmtId="0" fontId="8" fillId="34" borderId="13" xfId="0" applyFont="1" applyFill="1" applyBorder="1" applyAlignment="1">
      <alignment horizontal="left" vertical="top" wrapText="1"/>
    </xf>
    <xf numFmtId="0" fontId="8" fillId="34" borderId="0" xfId="0" applyFont="1" applyFill="1" applyAlignment="1">
      <alignment horizontal="left" vertical="top" wrapText="1"/>
    </xf>
    <xf numFmtId="0" fontId="8" fillId="34" borderId="15" xfId="0" applyFont="1" applyFill="1" applyBorder="1" applyAlignment="1">
      <alignment horizontal="left" vertical="top" wrapText="1"/>
    </xf>
    <xf numFmtId="0" fontId="8" fillId="34" borderId="14" xfId="0" applyFont="1" applyFill="1" applyBorder="1" applyAlignment="1">
      <alignment horizontal="left" vertical="top" wrapText="1"/>
    </xf>
    <xf numFmtId="0" fontId="8" fillId="34" borderId="46" xfId="0" applyFont="1" applyFill="1" applyBorder="1" applyAlignment="1">
      <alignment horizontal="left" vertical="top" wrapText="1"/>
    </xf>
    <xf numFmtId="0" fontId="8" fillId="34" borderId="22" xfId="0" applyFont="1" applyFill="1" applyBorder="1" applyAlignment="1">
      <alignment horizontal="left" vertical="top" wrapText="1"/>
    </xf>
    <xf numFmtId="0" fontId="8" fillId="0" borderId="145" xfId="0" applyFont="1" applyBorder="1" applyAlignment="1">
      <alignment horizontal="center" vertical="center" wrapText="1"/>
    </xf>
    <xf numFmtId="0" fontId="8" fillId="0" borderId="144"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22" xfId="0" applyFont="1" applyBorder="1" applyAlignment="1">
      <alignment horizontal="center" vertical="center" wrapText="1"/>
    </xf>
    <xf numFmtId="0" fontId="8" fillId="34" borderId="145" xfId="0" applyFont="1" applyFill="1" applyBorder="1" applyAlignment="1">
      <alignment horizontal="center" vertical="center"/>
    </xf>
    <xf numFmtId="0" fontId="8" fillId="37" borderId="46" xfId="0" applyFont="1" applyFill="1" applyBorder="1" applyAlignment="1">
      <alignment horizontal="center" vertical="center"/>
    </xf>
    <xf numFmtId="0" fontId="8" fillId="37" borderId="22" xfId="0" applyFont="1" applyFill="1" applyBorder="1" applyAlignment="1">
      <alignment horizontal="center" vertical="center"/>
    </xf>
    <xf numFmtId="0" fontId="8" fillId="37" borderId="11" xfId="0" applyFont="1" applyFill="1" applyBorder="1" applyAlignment="1">
      <alignment horizontal="left" vertical="center"/>
    </xf>
    <xf numFmtId="0" fontId="8" fillId="37" borderId="145" xfId="0" applyFont="1" applyFill="1" applyBorder="1" applyAlignment="1">
      <alignment horizontal="left" vertical="center"/>
    </xf>
    <xf numFmtId="0" fontId="8" fillId="37" borderId="144" xfId="0" applyFont="1" applyFill="1" applyBorder="1" applyAlignment="1">
      <alignment horizontal="left" vertical="center"/>
    </xf>
    <xf numFmtId="0" fontId="8" fillId="37" borderId="13" xfId="0" applyFont="1" applyFill="1" applyBorder="1" applyAlignment="1">
      <alignment horizontal="left" vertical="center"/>
    </xf>
    <xf numFmtId="0" fontId="8" fillId="37" borderId="0" xfId="0" applyFont="1" applyFill="1" applyAlignment="1">
      <alignment horizontal="left" vertical="center"/>
    </xf>
    <xf numFmtId="0" fontId="8" fillId="34" borderId="14" xfId="0" applyFont="1" applyFill="1" applyBorder="1" applyAlignment="1">
      <alignment horizontal="left" vertical="center"/>
    </xf>
    <xf numFmtId="0" fontId="8" fillId="34" borderId="46" xfId="0" applyFont="1" applyFill="1" applyBorder="1" applyAlignment="1">
      <alignment horizontal="left" vertical="center"/>
    </xf>
    <xf numFmtId="0" fontId="8" fillId="0" borderId="15" xfId="0" applyFont="1" applyBorder="1" applyAlignment="1">
      <alignment horizontal="center" vertical="center"/>
    </xf>
    <xf numFmtId="0" fontId="8" fillId="0" borderId="52" xfId="0" applyFont="1" applyBorder="1" applyAlignment="1">
      <alignment horizontal="center" vertical="center"/>
    </xf>
    <xf numFmtId="0" fontId="8" fillId="0" borderId="32" xfId="0" applyFont="1" applyBorder="1" applyAlignment="1">
      <alignment horizontal="center" vertical="center"/>
    </xf>
    <xf numFmtId="0" fontId="8" fillId="37" borderId="21" xfId="0" applyFont="1" applyFill="1" applyBorder="1" applyAlignment="1">
      <alignment horizontal="left" vertical="center"/>
    </xf>
    <xf numFmtId="0" fontId="8" fillId="37" borderId="52" xfId="0" applyFont="1" applyFill="1" applyBorder="1" applyAlignment="1">
      <alignment horizontal="left" vertical="center"/>
    </xf>
    <xf numFmtId="0" fontId="8" fillId="37" borderId="46" xfId="0" applyFont="1" applyFill="1" applyBorder="1" applyAlignment="1">
      <alignment horizontal="left" vertical="center"/>
    </xf>
    <xf numFmtId="0" fontId="8" fillId="37" borderId="145" xfId="0" applyFont="1" applyFill="1" applyBorder="1" applyAlignment="1">
      <alignment horizontal="center" vertical="center"/>
    </xf>
    <xf numFmtId="0" fontId="8" fillId="37" borderId="32" xfId="0" applyFont="1" applyFill="1" applyBorder="1" applyAlignment="1">
      <alignment horizontal="left" vertical="center"/>
    </xf>
    <xf numFmtId="0" fontId="8" fillId="37" borderId="11" xfId="0" applyFont="1" applyFill="1" applyBorder="1" applyAlignment="1">
      <alignment horizontal="left" vertical="top"/>
    </xf>
    <xf numFmtId="0" fontId="8" fillId="37" borderId="145" xfId="0" applyFont="1" applyFill="1" applyBorder="1" applyAlignment="1">
      <alignment horizontal="left" vertical="top"/>
    </xf>
    <xf numFmtId="0" fontId="8" fillId="37" borderId="144" xfId="0" applyFont="1" applyFill="1" applyBorder="1" applyAlignment="1">
      <alignment horizontal="left" vertical="top"/>
    </xf>
    <xf numFmtId="0" fontId="8" fillId="37" borderId="13" xfId="0" applyFont="1" applyFill="1" applyBorder="1" applyAlignment="1">
      <alignment horizontal="left" vertical="top"/>
    </xf>
    <xf numFmtId="0" fontId="8" fillId="37" borderId="0" xfId="0" applyFont="1" applyFill="1" applyAlignment="1">
      <alignment horizontal="left" vertical="top"/>
    </xf>
    <xf numFmtId="0" fontId="8" fillId="37" borderId="15" xfId="0" applyFont="1" applyFill="1" applyBorder="1" applyAlignment="1">
      <alignment horizontal="left" vertical="top"/>
    </xf>
    <xf numFmtId="0" fontId="8" fillId="37" borderId="11" xfId="0" applyFont="1" applyFill="1" applyBorder="1" applyAlignment="1">
      <alignment horizontal="right" vertical="center"/>
    </xf>
    <xf numFmtId="0" fontId="8" fillId="37" borderId="145" xfId="0" applyFont="1" applyFill="1" applyBorder="1" applyAlignment="1">
      <alignment horizontal="right" vertical="center"/>
    </xf>
    <xf numFmtId="0" fontId="8" fillId="37" borderId="144" xfId="0" applyFont="1" applyFill="1" applyBorder="1" applyAlignment="1">
      <alignment horizontal="center" vertical="center"/>
    </xf>
    <xf numFmtId="0" fontId="8" fillId="37" borderId="46" xfId="0" applyFont="1" applyFill="1" applyBorder="1" applyAlignment="1">
      <alignment horizontal="right" vertical="center"/>
    </xf>
    <xf numFmtId="0" fontId="8" fillId="34" borderId="15" xfId="0" applyFont="1" applyFill="1" applyBorder="1" applyAlignment="1">
      <alignment horizontal="center" vertical="center"/>
    </xf>
    <xf numFmtId="0" fontId="11" fillId="0" borderId="0" xfId="0" applyFont="1" applyAlignment="1">
      <alignment horizontal="left" vertical="top" wrapText="1"/>
    </xf>
    <xf numFmtId="0" fontId="8" fillId="0" borderId="52"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1" xfId="0" applyFont="1" applyBorder="1" applyAlignment="1">
      <alignment horizontal="center" vertical="center"/>
    </xf>
    <xf numFmtId="0" fontId="8" fillId="37" borderId="52" xfId="0" applyFont="1" applyFill="1" applyBorder="1" applyAlignment="1">
      <alignment horizontal="center" vertical="center"/>
    </xf>
    <xf numFmtId="0" fontId="8" fillId="37" borderId="32" xfId="0" applyFont="1" applyFill="1" applyBorder="1" applyAlignment="1">
      <alignment horizontal="center" vertical="center"/>
    </xf>
    <xf numFmtId="0" fontId="8" fillId="34" borderId="46" xfId="0" applyFont="1" applyFill="1" applyBorder="1" applyAlignment="1">
      <alignment horizontal="center" vertical="center"/>
    </xf>
    <xf numFmtId="0" fontId="8" fillId="34" borderId="22" xfId="0" applyFont="1" applyFill="1" applyBorder="1" applyAlignment="1">
      <alignment horizontal="center" vertical="center"/>
    </xf>
    <xf numFmtId="0" fontId="11" fillId="0" borderId="0" xfId="0" applyFont="1" applyAlignment="1">
      <alignment horizontal="left" vertical="center" wrapText="1"/>
    </xf>
    <xf numFmtId="0" fontId="12" fillId="0" borderId="11" xfId="0" applyFont="1" applyBorder="1" applyAlignment="1">
      <alignment horizontal="center" vertical="center"/>
    </xf>
    <xf numFmtId="0" fontId="12" fillId="0" borderId="145"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0" fillId="34" borderId="0" xfId="0" applyFont="1" applyFill="1" applyAlignment="1">
      <alignment horizontal="center" vertical="center"/>
    </xf>
    <xf numFmtId="0" fontId="8" fillId="34" borderId="15" xfId="0" applyFont="1" applyFill="1" applyBorder="1" applyAlignment="1">
      <alignment horizontal="left" vertical="center"/>
    </xf>
    <xf numFmtId="0" fontId="8" fillId="0" borderId="0" xfId="0" applyFont="1" applyAlignment="1">
      <alignment horizontal="left" vertical="center" wrapText="1"/>
    </xf>
    <xf numFmtId="0" fontId="8" fillId="0" borderId="0" xfId="0" applyFont="1" applyAlignment="1">
      <alignment horizontal="right" vertical="center" wrapText="1"/>
    </xf>
    <xf numFmtId="0" fontId="8" fillId="0" borderId="145" xfId="0" applyFont="1" applyBorder="1" applyAlignment="1">
      <alignment horizontal="left" vertical="center"/>
    </xf>
    <xf numFmtId="0" fontId="25" fillId="0" borderId="11" xfId="0" applyFont="1" applyBorder="1" applyAlignment="1">
      <alignment horizontal="center" vertical="center"/>
    </xf>
    <xf numFmtId="0" fontId="25" fillId="0" borderId="145" xfId="0" applyFont="1" applyBorder="1" applyAlignment="1">
      <alignment horizontal="center" vertical="center"/>
    </xf>
    <xf numFmtId="0" fontId="25" fillId="0" borderId="144" xfId="0" applyFont="1" applyBorder="1" applyAlignment="1">
      <alignment horizontal="center" vertical="center"/>
    </xf>
    <xf numFmtId="0" fontId="9" fillId="0" borderId="46" xfId="0" applyFont="1" applyBorder="1" applyAlignment="1">
      <alignment horizontal="center" vertical="center"/>
    </xf>
    <xf numFmtId="0" fontId="10" fillId="0" borderId="65" xfId="1256" applyFont="1" applyBorder="1" applyAlignment="1">
      <alignment horizontal="left" vertical="center" indent="1"/>
    </xf>
    <xf numFmtId="0" fontId="10" fillId="0" borderId="66" xfId="1256" applyFont="1" applyBorder="1" applyAlignment="1">
      <alignment horizontal="left" vertical="center" indent="1"/>
    </xf>
    <xf numFmtId="0" fontId="10" fillId="40" borderId="47" xfId="1256" applyFont="1" applyFill="1" applyBorder="1" applyAlignment="1" applyProtection="1">
      <alignment horizontal="center" vertical="center"/>
      <protection locked="0"/>
    </xf>
    <xf numFmtId="0" fontId="10" fillId="40" borderId="48" xfId="1256" applyFont="1" applyFill="1" applyBorder="1" applyAlignment="1" applyProtection="1">
      <alignment horizontal="center" vertical="center"/>
      <protection locked="0"/>
    </xf>
    <xf numFmtId="0" fontId="10" fillId="40" borderId="54" xfId="1256" applyFont="1" applyFill="1" applyBorder="1" applyAlignment="1" applyProtection="1">
      <alignment horizontal="center" vertical="center"/>
      <protection locked="0"/>
    </xf>
    <xf numFmtId="0" fontId="10" fillId="40" borderId="62" xfId="1256" applyFont="1" applyFill="1" applyBorder="1" applyAlignment="1" applyProtection="1">
      <alignment horizontal="center" vertical="center"/>
      <protection locked="0"/>
    </xf>
    <xf numFmtId="0" fontId="10" fillId="40" borderId="63" xfId="1256" applyFont="1" applyFill="1" applyBorder="1" applyAlignment="1" applyProtection="1">
      <alignment horizontal="center" vertical="center"/>
      <protection locked="0"/>
    </xf>
    <xf numFmtId="0" fontId="10" fillId="40" borderId="64" xfId="1256" applyFont="1" applyFill="1" applyBorder="1" applyAlignment="1" applyProtection="1">
      <alignment horizontal="center" vertical="center"/>
      <protection locked="0"/>
    </xf>
    <xf numFmtId="0" fontId="10" fillId="40" borderId="13" xfId="1256" applyFont="1" applyFill="1" applyBorder="1" applyAlignment="1" applyProtection="1">
      <alignment horizontal="center" vertical="center"/>
      <protection locked="0"/>
    </xf>
    <xf numFmtId="0" fontId="10" fillId="40" borderId="0" xfId="1256" applyFont="1" applyFill="1" applyAlignment="1" applyProtection="1">
      <alignment horizontal="center" vertical="center"/>
      <protection locked="0"/>
    </xf>
    <xf numFmtId="0" fontId="10" fillId="40" borderId="15" xfId="1256" applyFont="1" applyFill="1" applyBorder="1" applyAlignment="1" applyProtection="1">
      <alignment horizontal="center" vertical="center"/>
      <protection locked="0"/>
    </xf>
    <xf numFmtId="0" fontId="10" fillId="37" borderId="47" xfId="1256" applyFont="1" applyFill="1" applyBorder="1" applyAlignment="1" applyProtection="1">
      <alignment horizontal="left" vertical="center" wrapText="1" shrinkToFit="1"/>
      <protection locked="0"/>
    </xf>
    <xf numFmtId="0" fontId="4" fillId="37" borderId="48" xfId="1256" applyFill="1" applyBorder="1" applyAlignment="1">
      <alignment horizontal="left" vertical="center" wrapText="1" shrinkToFit="1"/>
    </xf>
    <xf numFmtId="0" fontId="4" fillId="37" borderId="54" xfId="1256" applyFill="1" applyBorder="1" applyAlignment="1">
      <alignment horizontal="left" vertical="center" wrapText="1" shrinkToFit="1"/>
    </xf>
    <xf numFmtId="0" fontId="4" fillId="37" borderId="13" xfId="1256" applyFill="1" applyBorder="1" applyAlignment="1">
      <alignment horizontal="left" vertical="center" wrapText="1" shrinkToFit="1"/>
    </xf>
    <xf numFmtId="0" fontId="4" fillId="37" borderId="0" xfId="1256" applyFill="1" applyAlignment="1">
      <alignment horizontal="left" vertical="center" wrapText="1" shrinkToFit="1"/>
    </xf>
    <xf numFmtId="0" fontId="4" fillId="37" borderId="15" xfId="1256" applyFill="1" applyBorder="1" applyAlignment="1">
      <alignment horizontal="left" vertical="center" wrapText="1" shrinkToFit="1"/>
    </xf>
    <xf numFmtId="0" fontId="4" fillId="37" borderId="14" xfId="1256" applyFill="1" applyBorder="1" applyAlignment="1">
      <alignment horizontal="left" vertical="center" wrapText="1" shrinkToFit="1"/>
    </xf>
    <xf numFmtId="0" fontId="4" fillId="37" borderId="46" xfId="1256" applyFill="1" applyBorder="1" applyAlignment="1">
      <alignment horizontal="left" vertical="center" wrapText="1" shrinkToFit="1"/>
    </xf>
    <xf numFmtId="0" fontId="4" fillId="37" borderId="22" xfId="1256" applyFill="1" applyBorder="1" applyAlignment="1">
      <alignment horizontal="left" vertical="center" wrapText="1" shrinkToFit="1"/>
    </xf>
    <xf numFmtId="0" fontId="10" fillId="37" borderId="115" xfId="1256" applyFont="1" applyFill="1" applyBorder="1" applyAlignment="1">
      <alignment horizontal="center" vertical="center"/>
    </xf>
    <xf numFmtId="0" fontId="4" fillId="37" borderId="63" xfId="1256" applyFill="1" applyBorder="1" applyAlignment="1">
      <alignment horizontal="center" vertical="center"/>
    </xf>
    <xf numFmtId="0" fontId="4" fillId="37" borderId="64" xfId="1256" applyFill="1" applyBorder="1" applyAlignment="1">
      <alignment horizontal="center" vertical="center"/>
    </xf>
    <xf numFmtId="0" fontId="10" fillId="0" borderId="48" xfId="1256" applyFont="1" applyBorder="1">
      <alignment vertical="center"/>
    </xf>
    <xf numFmtId="0" fontId="4" fillId="0" borderId="0" xfId="1256">
      <alignment vertical="center"/>
    </xf>
    <xf numFmtId="0" fontId="4" fillId="0" borderId="46" xfId="1256" applyBorder="1">
      <alignment vertical="center"/>
    </xf>
    <xf numFmtId="0" fontId="10" fillId="0" borderId="116" xfId="1256" applyFont="1" applyBorder="1" applyAlignment="1">
      <alignment horizontal="left" vertical="center" indent="1"/>
    </xf>
    <xf numFmtId="0" fontId="10" fillId="0" borderId="117" xfId="1256" applyFont="1" applyBorder="1" applyAlignment="1">
      <alignment horizontal="left" vertical="center" indent="1"/>
    </xf>
    <xf numFmtId="0" fontId="10" fillId="40" borderId="118" xfId="1256" applyFont="1" applyFill="1" applyBorder="1" applyAlignment="1" applyProtection="1">
      <alignment horizontal="center" vertical="center"/>
      <protection locked="0"/>
    </xf>
    <xf numFmtId="0" fontId="10" fillId="40" borderId="119" xfId="1256" applyFont="1" applyFill="1" applyBorder="1" applyAlignment="1" applyProtection="1">
      <alignment horizontal="center" vertical="center"/>
      <protection locked="0"/>
    </xf>
    <xf numFmtId="0" fontId="10" fillId="40" borderId="120" xfId="1256" applyFont="1" applyFill="1" applyBorder="1" applyAlignment="1" applyProtection="1">
      <alignment horizontal="center" vertical="center"/>
      <protection locked="0"/>
    </xf>
    <xf numFmtId="0" fontId="10" fillId="0" borderId="62" xfId="1256" applyFont="1" applyBorder="1" applyAlignment="1" applyProtection="1">
      <alignment horizontal="center" vertical="center"/>
      <protection locked="0"/>
    </xf>
    <xf numFmtId="0" fontId="10" fillId="0" borderId="63" xfId="1256" applyFont="1" applyBorder="1" applyAlignment="1" applyProtection="1">
      <alignment horizontal="center" vertical="center"/>
      <protection locked="0"/>
    </xf>
    <xf numFmtId="0" fontId="10" fillId="0" borderId="64" xfId="1256" applyFont="1" applyBorder="1" applyAlignment="1" applyProtection="1">
      <alignment horizontal="center" vertical="center"/>
      <protection locked="0"/>
    </xf>
    <xf numFmtId="0" fontId="10" fillId="0" borderId="59" xfId="1256" applyFont="1" applyBorder="1" applyAlignment="1" applyProtection="1">
      <alignment horizontal="center" vertical="center"/>
      <protection locked="0"/>
    </xf>
    <xf numFmtId="0" fontId="10" fillId="0" borderId="60" xfId="1256" applyFont="1" applyBorder="1" applyAlignment="1" applyProtection="1">
      <alignment horizontal="center" vertical="center"/>
      <protection locked="0"/>
    </xf>
    <xf numFmtId="0" fontId="10" fillId="0" borderId="61" xfId="1256" applyFont="1" applyBorder="1" applyAlignment="1" applyProtection="1">
      <alignment horizontal="center" vertical="center"/>
      <protection locked="0"/>
    </xf>
    <xf numFmtId="0" fontId="10" fillId="0" borderId="121" xfId="1256" applyFont="1" applyBorder="1" applyAlignment="1">
      <alignment horizontal="left" vertical="center" indent="1"/>
    </xf>
    <xf numFmtId="0" fontId="10" fillId="0" borderId="122" xfId="1256" applyFont="1" applyBorder="1" applyAlignment="1">
      <alignment horizontal="left" vertical="center" indent="1"/>
    </xf>
    <xf numFmtId="0" fontId="10" fillId="40" borderId="11" xfId="1256" applyFont="1" applyFill="1" applyBorder="1" applyAlignment="1" applyProtection="1">
      <alignment horizontal="center" vertical="center"/>
      <protection locked="0"/>
    </xf>
    <xf numFmtId="0" fontId="10" fillId="40" borderId="145" xfId="1256" applyFont="1" applyFill="1" applyBorder="1" applyAlignment="1" applyProtection="1">
      <alignment horizontal="center" vertical="center"/>
      <protection locked="0"/>
    </xf>
    <xf numFmtId="0" fontId="10" fillId="40" borderId="144" xfId="1256" applyFont="1" applyFill="1" applyBorder="1" applyAlignment="1" applyProtection="1">
      <alignment horizontal="center" vertical="center"/>
      <protection locked="0"/>
    </xf>
    <xf numFmtId="0" fontId="9" fillId="0" borderId="0" xfId="1256" applyFont="1" applyAlignment="1">
      <alignment horizontal="center" vertical="center"/>
    </xf>
    <xf numFmtId="0" fontId="78" fillId="0" borderId="0" xfId="1256" applyFont="1" applyAlignment="1">
      <alignment horizontal="center" vertical="center"/>
    </xf>
    <xf numFmtId="0" fontId="9" fillId="0" borderId="21" xfId="1256" applyFont="1" applyBorder="1" applyAlignment="1">
      <alignment horizontal="center" vertical="center"/>
    </xf>
    <xf numFmtId="0" fontId="9" fillId="0" borderId="52" xfId="1256" applyFont="1" applyBorder="1" applyAlignment="1">
      <alignment horizontal="center" vertical="center"/>
    </xf>
    <xf numFmtId="0" fontId="9" fillId="0" borderId="32" xfId="1256" applyFont="1" applyBorder="1" applyAlignment="1">
      <alignment horizontal="center" vertical="center"/>
    </xf>
    <xf numFmtId="0" fontId="9" fillId="0" borderId="123" xfId="1256" applyFont="1" applyBorder="1" applyAlignment="1">
      <alignment horizontal="center" vertical="center"/>
    </xf>
    <xf numFmtId="0" fontId="9" fillId="0" borderId="124" xfId="1256" applyFont="1" applyBorder="1" applyAlignment="1">
      <alignment horizontal="center" vertical="center"/>
    </xf>
    <xf numFmtId="0" fontId="9" fillId="0" borderId="125" xfId="1256" applyFont="1" applyBorder="1" applyAlignment="1">
      <alignment horizontal="center" vertical="center"/>
    </xf>
    <xf numFmtId="0" fontId="9" fillId="0" borderId="126" xfId="1256" applyFont="1" applyBorder="1" applyAlignment="1">
      <alignment horizontal="center" vertical="center"/>
    </xf>
    <xf numFmtId="0" fontId="9" fillId="0" borderId="127" xfId="1256" applyFont="1" applyBorder="1" applyAlignment="1">
      <alignment horizontal="center" vertical="center"/>
    </xf>
    <xf numFmtId="0" fontId="10" fillId="0" borderId="0" xfId="1256" applyFont="1" applyAlignment="1">
      <alignment horizontal="left" vertical="center"/>
    </xf>
    <xf numFmtId="0" fontId="5" fillId="0" borderId="0" xfId="1256" applyFont="1" applyAlignment="1">
      <alignment horizontal="left" vertical="center"/>
    </xf>
    <xf numFmtId="0" fontId="4" fillId="0" borderId="0" xfId="1256" applyAlignment="1">
      <alignment horizontal="left" vertical="center"/>
    </xf>
    <xf numFmtId="0" fontId="10" fillId="0" borderId="0" xfId="1256" applyFont="1">
      <alignment vertical="center"/>
    </xf>
    <xf numFmtId="0" fontId="5" fillId="0" borderId="0" xfId="1256" applyFont="1">
      <alignment vertical="center"/>
    </xf>
    <xf numFmtId="182" fontId="9" fillId="0" borderId="0" xfId="1256" applyNumberFormat="1" applyFont="1" applyAlignment="1">
      <alignment horizontal="left" vertical="center"/>
    </xf>
    <xf numFmtId="0" fontId="9" fillId="0" borderId="0" xfId="1256" applyFont="1" applyAlignment="1">
      <alignment horizontal="left" vertical="center" wrapText="1"/>
    </xf>
    <xf numFmtId="0" fontId="4" fillId="0" borderId="0" xfId="1256" applyAlignment="1">
      <alignment vertical="center" wrapText="1"/>
    </xf>
    <xf numFmtId="0" fontId="10" fillId="0" borderId="0" xfId="1256" applyFont="1" applyAlignment="1" applyProtection="1">
      <alignment horizontal="center" vertical="center"/>
      <protection locked="0"/>
    </xf>
    <xf numFmtId="49" fontId="10" fillId="37" borderId="0" xfId="1256" applyNumberFormat="1" applyFont="1" applyFill="1" applyAlignment="1" applyProtection="1">
      <alignment horizontal="center" vertical="center"/>
      <protection locked="0"/>
    </xf>
    <xf numFmtId="182" fontId="9" fillId="37" borderId="0" xfId="1256" applyNumberFormat="1" applyFont="1" applyFill="1" applyAlignment="1">
      <alignment horizontal="center" vertical="center"/>
    </xf>
    <xf numFmtId="0" fontId="9" fillId="0" borderId="0" xfId="1256" applyFont="1" applyAlignment="1">
      <alignment horizontal="left" vertical="center"/>
    </xf>
    <xf numFmtId="0" fontId="9" fillId="37" borderId="0" xfId="1256" applyFont="1" applyFill="1" applyAlignment="1">
      <alignment horizontal="right" vertical="center" wrapText="1"/>
    </xf>
    <xf numFmtId="0" fontId="73" fillId="40" borderId="0" xfId="1256" applyFont="1" applyFill="1" applyAlignment="1">
      <alignment horizontal="center" vertical="center"/>
    </xf>
    <xf numFmtId="0" fontId="4" fillId="40" borderId="0" xfId="1256" applyFill="1" applyAlignment="1">
      <alignment horizontal="center" vertical="center"/>
    </xf>
    <xf numFmtId="0" fontId="74" fillId="0" borderId="0" xfId="1256" applyFont="1" applyAlignment="1">
      <alignment horizontal="center" vertical="center"/>
    </xf>
    <xf numFmtId="0" fontId="83" fillId="0" borderId="0" xfId="1256" applyFont="1" applyAlignment="1">
      <alignment horizontal="left" vertical="center"/>
    </xf>
    <xf numFmtId="0" fontId="9" fillId="37" borderId="0" xfId="1256" applyFont="1" applyFill="1" applyAlignment="1" applyProtection="1">
      <alignment horizontal="right" vertical="center"/>
      <protection locked="0"/>
    </xf>
    <xf numFmtId="0" fontId="9" fillId="0" borderId="11" xfId="1256" applyFont="1" applyBorder="1" applyAlignment="1">
      <alignment horizontal="center" vertical="center"/>
    </xf>
    <xf numFmtId="0" fontId="4" fillId="0" borderId="145" xfId="1256" applyBorder="1" applyAlignment="1">
      <alignment horizontal="center" vertical="center"/>
    </xf>
    <xf numFmtId="0" fontId="4" fillId="0" borderId="144" xfId="1256" applyBorder="1" applyAlignment="1">
      <alignment horizontal="center" vertical="center"/>
    </xf>
    <xf numFmtId="0" fontId="10" fillId="0" borderId="118" xfId="1256" applyFont="1" applyBorder="1" applyAlignment="1" applyProtection="1">
      <alignment horizontal="center" vertical="center"/>
      <protection locked="0"/>
    </xf>
    <xf numFmtId="0" fontId="10" fillId="0" borderId="119" xfId="1256" applyFont="1" applyBorder="1" applyAlignment="1" applyProtection="1">
      <alignment horizontal="center" vertical="center"/>
      <protection locked="0"/>
    </xf>
    <xf numFmtId="0" fontId="10" fillId="0" borderId="120" xfId="1256" applyFont="1" applyBorder="1" applyAlignment="1" applyProtection="1">
      <alignment horizontal="center" vertical="center"/>
      <protection locked="0"/>
    </xf>
    <xf numFmtId="0" fontId="9" fillId="0" borderId="11" xfId="1256" applyFont="1" applyBorder="1" applyAlignment="1">
      <alignment horizontal="left" vertical="center"/>
    </xf>
    <xf numFmtId="0" fontId="4" fillId="0" borderId="145" xfId="1256" applyBorder="1">
      <alignment vertical="center"/>
    </xf>
    <xf numFmtId="0" fontId="4" fillId="0" borderId="13" xfId="1256" applyBorder="1">
      <alignment vertical="center"/>
    </xf>
    <xf numFmtId="0" fontId="4" fillId="0" borderId="14" xfId="1256" applyBorder="1">
      <alignment vertical="center"/>
    </xf>
    <xf numFmtId="0" fontId="4" fillId="0" borderId="144" xfId="1256" applyBorder="1">
      <alignment vertical="center"/>
    </xf>
    <xf numFmtId="0" fontId="4" fillId="0" borderId="15" xfId="1256" applyBorder="1">
      <alignment vertical="center"/>
    </xf>
    <xf numFmtId="0" fontId="4" fillId="0" borderId="22" xfId="1256" applyBorder="1">
      <alignment vertical="center"/>
    </xf>
    <xf numFmtId="0" fontId="9" fillId="37" borderId="0" xfId="1256" applyFont="1" applyFill="1" applyAlignment="1" applyProtection="1">
      <alignment horizontal="center" vertical="center" shrinkToFit="1"/>
      <protection locked="0"/>
    </xf>
    <xf numFmtId="0" fontId="9" fillId="0" borderId="0" xfId="1256" applyFont="1">
      <alignment vertical="center"/>
    </xf>
    <xf numFmtId="0" fontId="10" fillId="0" borderId="0" xfId="1256" applyFont="1" applyAlignment="1" applyProtection="1">
      <alignment horizontal="left" vertical="center"/>
      <protection locked="0"/>
    </xf>
    <xf numFmtId="0" fontId="9" fillId="0" borderId="145" xfId="1256" applyFont="1" applyBorder="1">
      <alignment vertical="center"/>
    </xf>
    <xf numFmtId="0" fontId="9" fillId="0" borderId="12" xfId="1256" applyFont="1" applyBorder="1" applyAlignment="1">
      <alignment horizontal="center" vertical="center"/>
    </xf>
    <xf numFmtId="0" fontId="4" fillId="0" borderId="52" xfId="1256" applyBorder="1" applyAlignment="1">
      <alignment horizontal="center" vertical="center"/>
    </xf>
    <xf numFmtId="0" fontId="4" fillId="0" borderId="32" xfId="1256" applyBorder="1" applyAlignment="1">
      <alignment horizontal="center" vertical="center"/>
    </xf>
    <xf numFmtId="0" fontId="9" fillId="0" borderId="145" xfId="1256" applyFont="1" applyBorder="1" applyAlignment="1">
      <alignment horizontal="center" vertical="center"/>
    </xf>
    <xf numFmtId="0" fontId="4" fillId="0" borderId="13" xfId="1256" applyBorder="1" applyAlignment="1">
      <alignment horizontal="center" vertical="center"/>
    </xf>
    <xf numFmtId="0" fontId="4" fillId="0" borderId="0" xfId="1256" applyAlignment="1">
      <alignment horizontal="center" vertical="center"/>
    </xf>
    <xf numFmtId="0" fontId="4" fillId="0" borderId="15" xfId="1256" applyBorder="1" applyAlignment="1">
      <alignment horizontal="center" vertical="center"/>
    </xf>
    <xf numFmtId="0" fontId="4" fillId="0" borderId="14" xfId="1256" applyBorder="1" applyAlignment="1">
      <alignment horizontal="center" vertical="center"/>
    </xf>
    <xf numFmtId="0" fontId="4" fillId="0" borderId="46" xfId="1256" applyBorder="1" applyAlignment="1">
      <alignment horizontal="center" vertical="center"/>
    </xf>
    <xf numFmtId="0" fontId="4" fillId="0" borderId="22" xfId="1256" applyBorder="1" applyAlignment="1">
      <alignment horizontal="center" vertical="center"/>
    </xf>
    <xf numFmtId="0" fontId="9" fillId="0" borderId="12" xfId="1256" applyFont="1" applyBorder="1" applyAlignment="1">
      <alignment horizontal="center" vertical="center" textRotation="255"/>
    </xf>
    <xf numFmtId="0" fontId="9" fillId="40" borderId="11" xfId="1256" applyFont="1" applyFill="1" applyBorder="1" applyAlignment="1" applyProtection="1">
      <alignment horizontal="center" vertical="center"/>
      <protection locked="0"/>
    </xf>
    <xf numFmtId="0" fontId="4" fillId="40" borderId="145" xfId="1256" applyFill="1" applyBorder="1" applyAlignment="1">
      <alignment horizontal="center" vertical="center"/>
    </xf>
    <xf numFmtId="0" fontId="9" fillId="0" borderId="145" xfId="1256" applyFont="1" applyBorder="1" applyAlignment="1">
      <alignment horizontal="left" vertical="center"/>
    </xf>
    <xf numFmtId="0" fontId="9" fillId="40" borderId="145" xfId="1256" applyFont="1" applyFill="1" applyBorder="1" applyAlignment="1" applyProtection="1">
      <alignment horizontal="center" vertical="center"/>
      <protection locked="0"/>
    </xf>
    <xf numFmtId="0" fontId="9" fillId="37" borderId="13" xfId="1256" applyFont="1" applyFill="1" applyBorder="1" applyAlignment="1" applyProtection="1">
      <alignment horizontal="center" vertical="center"/>
      <protection locked="0"/>
    </xf>
    <xf numFmtId="0" fontId="4" fillId="37" borderId="0" xfId="1256" applyFill="1" applyAlignment="1">
      <alignment horizontal="center" vertical="center"/>
    </xf>
    <xf numFmtId="0" fontId="4" fillId="37" borderId="15" xfId="1256" applyFill="1" applyBorder="1" applyAlignment="1">
      <alignment horizontal="center" vertical="center"/>
    </xf>
    <xf numFmtId="0" fontId="4" fillId="37" borderId="13" xfId="1256" applyFill="1" applyBorder="1" applyAlignment="1">
      <alignment horizontal="center" vertical="center"/>
    </xf>
    <xf numFmtId="0" fontId="4" fillId="37" borderId="14" xfId="1256" applyFill="1" applyBorder="1" applyAlignment="1">
      <alignment horizontal="center" vertical="center"/>
    </xf>
    <xf numFmtId="0" fontId="4" fillId="37" borderId="46" xfId="1256" applyFill="1" applyBorder="1" applyAlignment="1">
      <alignment horizontal="center" vertical="center"/>
    </xf>
    <xf numFmtId="0" fontId="4" fillId="37" borderId="22" xfId="1256" applyFill="1" applyBorder="1" applyAlignment="1">
      <alignment horizontal="center" vertical="center"/>
    </xf>
    <xf numFmtId="0" fontId="9" fillId="37" borderId="52" xfId="1256" applyFont="1" applyFill="1" applyBorder="1" applyAlignment="1" applyProtection="1">
      <alignment horizontal="center" vertical="center"/>
      <protection locked="0"/>
    </xf>
    <xf numFmtId="0" fontId="9" fillId="37" borderId="46" xfId="1256" applyFont="1" applyFill="1" applyBorder="1" applyAlignment="1" applyProtection="1">
      <alignment horizontal="center" vertical="center"/>
      <protection locked="0"/>
    </xf>
    <xf numFmtId="0" fontId="9" fillId="37" borderId="22" xfId="1256" applyFont="1" applyFill="1" applyBorder="1" applyAlignment="1" applyProtection="1">
      <alignment horizontal="center" vertical="center"/>
      <protection locked="0"/>
    </xf>
    <xf numFmtId="0" fontId="9" fillId="0" borderId="49" xfId="1256" applyFont="1" applyBorder="1" applyAlignment="1">
      <alignment horizontal="center" vertical="center" textRotation="255"/>
    </xf>
    <xf numFmtId="0" fontId="4" fillId="0" borderId="81" xfId="1256" applyBorder="1" applyAlignment="1">
      <alignment horizontal="center" vertical="center" textRotation="255"/>
    </xf>
    <xf numFmtId="0" fontId="4" fillId="0" borderId="80" xfId="1256" applyBorder="1" applyAlignment="1">
      <alignment horizontal="center" vertical="center" textRotation="255"/>
    </xf>
    <xf numFmtId="0" fontId="9" fillId="37" borderId="11" xfId="1256" applyFont="1" applyFill="1" applyBorder="1" applyAlignment="1">
      <alignment horizontal="center" vertical="center" textRotation="255"/>
    </xf>
    <xf numFmtId="0" fontId="4" fillId="37" borderId="145" xfId="1256" applyFill="1" applyBorder="1" applyAlignment="1">
      <alignment horizontal="center" vertical="center"/>
    </xf>
    <xf numFmtId="0" fontId="4" fillId="37" borderId="144" xfId="1256" applyFill="1" applyBorder="1" applyAlignment="1">
      <alignment horizontal="center" vertical="center"/>
    </xf>
    <xf numFmtId="0" fontId="9" fillId="37" borderId="145" xfId="1256" applyFont="1" applyFill="1" applyBorder="1" applyAlignment="1" applyProtection="1">
      <alignment horizontal="center" vertical="center"/>
      <protection locked="0"/>
    </xf>
    <xf numFmtId="0" fontId="9" fillId="37" borderId="144" xfId="1256" applyFont="1" applyFill="1" applyBorder="1" applyAlignment="1" applyProtection="1">
      <alignment horizontal="center" vertical="center"/>
      <protection locked="0"/>
    </xf>
    <xf numFmtId="0" fontId="9" fillId="37" borderId="0" xfId="1256" applyFont="1" applyFill="1" applyAlignment="1" applyProtection="1">
      <alignment horizontal="center" vertical="center"/>
      <protection locked="0"/>
    </xf>
    <xf numFmtId="0" fontId="9" fillId="37" borderId="15" xfId="1256" applyFont="1" applyFill="1" applyBorder="1" applyAlignment="1" applyProtection="1">
      <alignment horizontal="center" vertical="center"/>
      <protection locked="0"/>
    </xf>
    <xf numFmtId="0" fontId="9" fillId="0" borderId="12" xfId="1256" applyFont="1" applyBorder="1" applyAlignment="1">
      <alignment horizontal="center" vertical="center" wrapText="1"/>
    </xf>
    <xf numFmtId="0" fontId="9" fillId="40" borderId="0" xfId="1256" applyFont="1" applyFill="1" applyAlignment="1" applyProtection="1">
      <alignment horizontal="center" vertical="center" shrinkToFit="1"/>
      <protection locked="0"/>
    </xf>
    <xf numFmtId="0" fontId="9" fillId="37" borderId="145" xfId="1256" applyFont="1" applyFill="1" applyBorder="1" applyAlignment="1" applyProtection="1">
      <alignment horizontal="right" vertical="center" shrinkToFit="1"/>
      <protection locked="0"/>
    </xf>
    <xf numFmtId="0" fontId="9" fillId="0" borderId="80" xfId="1256" applyFont="1" applyBorder="1" applyAlignment="1">
      <alignment horizontal="center" vertical="center" textRotation="255"/>
    </xf>
    <xf numFmtId="0" fontId="9" fillId="0" borderId="80" xfId="1256" applyFont="1" applyBorder="1" applyAlignment="1">
      <alignment horizontal="left" vertical="center" wrapText="1"/>
    </xf>
    <xf numFmtId="0" fontId="9" fillId="0" borderId="80" xfId="1256" applyFont="1" applyBorder="1" applyAlignment="1">
      <alignment horizontal="left" vertical="center"/>
    </xf>
    <xf numFmtId="0" fontId="9" fillId="0" borderId="12" xfId="1256" applyFont="1" applyBorder="1" applyAlignment="1">
      <alignment horizontal="left" vertical="center"/>
    </xf>
    <xf numFmtId="0" fontId="9" fillId="0" borderId="49" xfId="1256" applyFont="1" applyBorder="1" applyAlignment="1">
      <alignment horizontal="center" vertical="center"/>
    </xf>
    <xf numFmtId="0" fontId="9" fillId="37" borderId="21" xfId="1256" applyFont="1" applyFill="1" applyBorder="1" applyAlignment="1" applyProtection="1">
      <alignment horizontal="center" vertical="center" shrinkToFit="1"/>
      <protection locked="0"/>
    </xf>
    <xf numFmtId="0" fontId="9" fillId="37" borderId="52" xfId="1256" applyFont="1" applyFill="1" applyBorder="1" applyAlignment="1" applyProtection="1">
      <alignment horizontal="center" vertical="center" shrinkToFit="1"/>
      <protection locked="0"/>
    </xf>
    <xf numFmtId="0" fontId="9" fillId="37" borderId="32" xfId="1256" applyFont="1" applyFill="1" applyBorder="1" applyAlignment="1" applyProtection="1">
      <alignment horizontal="center" vertical="center" shrinkToFit="1"/>
      <protection locked="0"/>
    </xf>
    <xf numFmtId="0" fontId="9" fillId="37" borderId="21" xfId="1256" applyFont="1" applyFill="1" applyBorder="1" applyAlignment="1" applyProtection="1">
      <alignment horizontal="center" vertical="center"/>
      <protection locked="0"/>
    </xf>
    <xf numFmtId="0" fontId="9" fillId="37" borderId="32" xfId="1256" applyFont="1" applyFill="1" applyBorder="1" applyAlignment="1" applyProtection="1">
      <alignment horizontal="center" vertical="center"/>
      <protection locked="0"/>
    </xf>
    <xf numFmtId="0" fontId="9" fillId="0" borderId="12" xfId="1256" applyFont="1" applyBorder="1" applyAlignment="1">
      <alignment horizontal="left" vertical="center" wrapText="1"/>
    </xf>
    <xf numFmtId="0" fontId="9" fillId="40" borderId="145" xfId="1256" applyFont="1" applyFill="1" applyBorder="1" applyAlignment="1" applyProtection="1">
      <alignment horizontal="center" vertical="center" shrinkToFit="1"/>
      <protection locked="0"/>
    </xf>
    <xf numFmtId="0" fontId="9" fillId="0" borderId="11" xfId="1256" applyFont="1" applyBorder="1" applyAlignment="1">
      <alignment horizontal="center" vertical="center" wrapText="1"/>
    </xf>
    <xf numFmtId="0" fontId="9" fillId="0" borderId="145" xfId="1256" applyFont="1" applyBorder="1" applyAlignment="1">
      <alignment horizontal="center" vertical="center" wrapText="1"/>
    </xf>
    <xf numFmtId="0" fontId="9" fillId="0" borderId="144" xfId="1256" applyFont="1" applyBorder="1" applyAlignment="1">
      <alignment horizontal="center" vertical="center" wrapText="1"/>
    </xf>
    <xf numFmtId="0" fontId="9" fillId="0" borderId="13" xfId="1256" applyFont="1" applyBorder="1" applyAlignment="1">
      <alignment horizontal="center" vertical="center" wrapText="1"/>
    </xf>
    <xf numFmtId="0" fontId="9" fillId="0" borderId="0" xfId="1256" applyFont="1" applyAlignment="1">
      <alignment horizontal="center" vertical="center" wrapText="1"/>
    </xf>
    <xf numFmtId="0" fontId="9" fillId="0" borderId="15" xfId="1256" applyFont="1" applyBorder="1" applyAlignment="1">
      <alignment horizontal="center" vertical="center" wrapText="1"/>
    </xf>
    <xf numFmtId="0" fontId="9" fillId="0" borderId="14" xfId="1256" applyFont="1" applyBorder="1" applyAlignment="1">
      <alignment horizontal="center" vertical="center" wrapText="1"/>
    </xf>
    <xf numFmtId="0" fontId="9" fillId="0" borderId="46" xfId="1256" applyFont="1" applyBorder="1" applyAlignment="1">
      <alignment horizontal="center" vertical="center" wrapText="1"/>
    </xf>
    <xf numFmtId="0" fontId="9" fillId="0" borderId="22" xfId="1256" applyFont="1" applyBorder="1" applyAlignment="1">
      <alignment horizontal="center" vertical="center" wrapText="1"/>
    </xf>
    <xf numFmtId="0" fontId="9" fillId="37" borderId="11" xfId="1256" applyFont="1" applyFill="1" applyBorder="1" applyAlignment="1">
      <alignment horizontal="left" vertical="center" wrapText="1" shrinkToFit="1"/>
    </xf>
    <xf numFmtId="0" fontId="9" fillId="37" borderId="145" xfId="1256" applyFont="1" applyFill="1" applyBorder="1" applyAlignment="1">
      <alignment horizontal="left" vertical="center" wrapText="1" shrinkToFit="1"/>
    </xf>
    <xf numFmtId="0" fontId="9" fillId="37" borderId="144" xfId="1256" applyFont="1" applyFill="1" applyBorder="1" applyAlignment="1">
      <alignment horizontal="left" vertical="center" wrapText="1" shrinkToFit="1"/>
    </xf>
    <xf numFmtId="0" fontId="9" fillId="0" borderId="80" xfId="1256" applyFont="1" applyBorder="1" applyAlignment="1">
      <alignment horizontal="center" vertical="center"/>
    </xf>
    <xf numFmtId="0" fontId="9" fillId="37" borderId="80" xfId="1256" applyFont="1" applyFill="1" applyBorder="1" applyAlignment="1">
      <alignment horizontal="left" vertical="center"/>
    </xf>
    <xf numFmtId="0" fontId="9" fillId="37" borderId="80" xfId="1256" applyFont="1" applyFill="1" applyBorder="1" applyAlignment="1">
      <alignment horizontal="center" vertical="center"/>
    </xf>
    <xf numFmtId="0" fontId="10" fillId="0" borderId="0" xfId="1256" applyFont="1" applyAlignment="1">
      <alignment horizontal="left" vertical="top" wrapText="1"/>
    </xf>
    <xf numFmtId="0" fontId="9" fillId="0" borderId="49" xfId="1256" applyFont="1" applyBorder="1" applyAlignment="1">
      <alignment horizontal="left" vertical="center"/>
    </xf>
    <xf numFmtId="0" fontId="10" fillId="0" borderId="11" xfId="1256" applyFont="1" applyBorder="1" applyAlignment="1">
      <alignment horizontal="left" vertical="center"/>
    </xf>
    <xf numFmtId="0" fontId="5" fillId="0" borderId="145" xfId="1256" applyFont="1" applyBorder="1" applyAlignment="1">
      <alignment horizontal="left" vertical="center"/>
    </xf>
    <xf numFmtId="0" fontId="5" fillId="0" borderId="14" xfId="1256" applyFont="1" applyBorder="1" applyAlignment="1">
      <alignment horizontal="left" vertical="center"/>
    </xf>
    <xf numFmtId="0" fontId="5" fillId="0" borderId="46" xfId="1256" applyFont="1" applyBorder="1" applyAlignment="1">
      <alignment horizontal="left" vertical="center"/>
    </xf>
    <xf numFmtId="49" fontId="9" fillId="37" borderId="145" xfId="1256" applyNumberFormat="1" applyFont="1" applyFill="1" applyBorder="1" applyAlignment="1">
      <alignment horizontal="center" vertical="center"/>
    </xf>
    <xf numFmtId="49" fontId="9" fillId="37" borderId="46" xfId="1256" applyNumberFormat="1" applyFont="1" applyFill="1" applyBorder="1" applyAlignment="1">
      <alignment horizontal="center" vertical="center"/>
    </xf>
    <xf numFmtId="0" fontId="10" fillId="0" borderId="145" xfId="1256" applyFont="1" applyBorder="1" applyAlignment="1">
      <alignment horizontal="center" vertical="center"/>
    </xf>
    <xf numFmtId="0" fontId="9" fillId="0" borderId="46" xfId="1256" applyFont="1" applyBorder="1" applyAlignment="1">
      <alignment horizontal="center" vertical="center"/>
    </xf>
    <xf numFmtId="0" fontId="10" fillId="0" borderId="144" xfId="1256" applyFont="1" applyBorder="1" applyAlignment="1">
      <alignment horizontal="right" vertical="center"/>
    </xf>
    <xf numFmtId="0" fontId="10" fillId="0" borderId="22" xfId="1256" applyFont="1" applyBorder="1" applyAlignment="1">
      <alignment horizontal="right" vertical="center"/>
    </xf>
    <xf numFmtId="0" fontId="9" fillId="37" borderId="11" xfId="1256" applyFont="1" applyFill="1" applyBorder="1" applyAlignment="1">
      <alignment horizontal="right" vertical="center" wrapText="1"/>
    </xf>
    <xf numFmtId="0" fontId="4" fillId="37" borderId="145" xfId="1256" applyFill="1" applyBorder="1" applyAlignment="1">
      <alignment horizontal="right" vertical="center"/>
    </xf>
    <xf numFmtId="0" fontId="4" fillId="37" borderId="144" xfId="1256" applyFill="1" applyBorder="1" applyAlignment="1">
      <alignment horizontal="right" vertical="center"/>
    </xf>
    <xf numFmtId="0" fontId="4" fillId="37" borderId="14" xfId="1256" applyFill="1" applyBorder="1" applyAlignment="1">
      <alignment horizontal="right" vertical="center"/>
    </xf>
    <xf numFmtId="0" fontId="4" fillId="37" borderId="46" xfId="1256" applyFill="1" applyBorder="1" applyAlignment="1">
      <alignment horizontal="right" vertical="center"/>
    </xf>
    <xf numFmtId="0" fontId="4" fillId="37" borderId="22" xfId="1256" applyFill="1" applyBorder="1" applyAlignment="1">
      <alignment horizontal="right" vertical="center"/>
    </xf>
    <xf numFmtId="0" fontId="76" fillId="37" borderId="0" xfId="1256" applyFont="1" applyFill="1" applyAlignment="1">
      <alignment horizontal="center" vertical="center" shrinkToFit="1"/>
    </xf>
    <xf numFmtId="0" fontId="0" fillId="0" borderId="0" xfId="0" applyAlignment="1">
      <alignment horizontal="center" vertical="center" shrinkToFit="1"/>
    </xf>
    <xf numFmtId="0" fontId="80" fillId="0" borderId="128" xfId="1256" applyFont="1" applyBorder="1" applyAlignment="1">
      <alignment horizontal="center" vertical="center"/>
    </xf>
    <xf numFmtId="0" fontId="4" fillId="0" borderId="129" xfId="1256" applyBorder="1" applyAlignment="1">
      <alignment horizontal="center" vertical="center"/>
    </xf>
    <xf numFmtId="0" fontId="4" fillId="0" borderId="130" xfId="1256" applyBorder="1" applyAlignment="1">
      <alignment horizontal="center" vertical="center"/>
    </xf>
    <xf numFmtId="0" fontId="76" fillId="37" borderId="0" xfId="1256" applyFont="1" applyFill="1" applyAlignment="1" applyProtection="1">
      <alignment horizontal="right" vertical="center"/>
      <protection locked="0"/>
    </xf>
    <xf numFmtId="0" fontId="9" fillId="0" borderId="0" xfId="1256" applyFont="1" applyAlignment="1">
      <alignment horizontal="right" vertical="top"/>
    </xf>
    <xf numFmtId="0" fontId="8" fillId="0" borderId="0" xfId="1256" applyFont="1" applyAlignment="1">
      <alignment horizontal="left" vertical="top" wrapText="1"/>
    </xf>
    <xf numFmtId="0" fontId="9" fillId="37" borderId="69" xfId="1256" applyFont="1" applyFill="1" applyBorder="1" applyAlignment="1">
      <alignment vertical="center" wrapText="1" shrinkToFit="1"/>
    </xf>
    <xf numFmtId="0" fontId="9" fillId="37" borderId="71" xfId="1256" applyFont="1" applyFill="1" applyBorder="1" applyAlignment="1">
      <alignment vertical="center" wrapText="1" shrinkToFit="1"/>
    </xf>
    <xf numFmtId="0" fontId="9" fillId="37" borderId="70" xfId="1256" applyFont="1" applyFill="1" applyBorder="1" applyAlignment="1">
      <alignment vertical="center" wrapText="1" shrinkToFit="1"/>
    </xf>
    <xf numFmtId="0" fontId="9" fillId="37" borderId="68" xfId="1256" applyFont="1" applyFill="1" applyBorder="1" applyAlignment="1">
      <alignment vertical="center" wrapText="1" shrinkToFit="1"/>
    </xf>
    <xf numFmtId="0" fontId="9" fillId="37" borderId="45" xfId="1256" applyFont="1" applyFill="1" applyBorder="1" applyAlignment="1">
      <alignment vertical="center" wrapText="1" shrinkToFit="1"/>
    </xf>
    <xf numFmtId="0" fontId="9" fillId="37" borderId="56" xfId="1256" applyFont="1" applyFill="1" applyBorder="1" applyAlignment="1">
      <alignment vertical="center" wrapText="1" shrinkToFit="1"/>
    </xf>
    <xf numFmtId="0" fontId="9" fillId="41" borderId="21" xfId="1256" applyFont="1" applyFill="1" applyBorder="1">
      <alignment vertical="center"/>
    </xf>
    <xf numFmtId="0" fontId="9" fillId="0" borderId="52" xfId="1256" applyFont="1" applyBorder="1">
      <alignment vertical="center"/>
    </xf>
    <xf numFmtId="0" fontId="9" fillId="0" borderId="32" xfId="1256" applyFont="1" applyBorder="1">
      <alignment vertical="center"/>
    </xf>
    <xf numFmtId="0" fontId="9" fillId="0" borderId="23" xfId="1256" applyFont="1" applyBorder="1" applyAlignment="1">
      <alignment horizontal="center" vertical="center"/>
    </xf>
    <xf numFmtId="0" fontId="9" fillId="0" borderId="24" xfId="1256" applyFont="1" applyBorder="1" applyAlignment="1">
      <alignment horizontal="center" vertical="center"/>
    </xf>
    <xf numFmtId="0" fontId="9" fillId="37" borderId="23" xfId="1256" applyFont="1" applyFill="1" applyBorder="1" applyAlignment="1">
      <alignment vertical="center" wrapText="1" shrinkToFit="1"/>
    </xf>
    <xf numFmtId="0" fontId="9" fillId="37" borderId="24" xfId="1256" applyFont="1" applyFill="1" applyBorder="1" applyAlignment="1">
      <alignment vertical="center" wrapText="1" shrinkToFit="1"/>
    </xf>
    <xf numFmtId="0" fontId="9" fillId="37" borderId="67" xfId="1256" applyFont="1" applyFill="1" applyBorder="1" applyAlignment="1">
      <alignment vertical="center" wrapText="1" shrinkToFit="1"/>
    </xf>
    <xf numFmtId="0" fontId="9" fillId="0" borderId="11" xfId="1256" applyFont="1" applyBorder="1" applyAlignment="1">
      <alignment horizontal="right" vertical="center"/>
    </xf>
    <xf numFmtId="0" fontId="9" fillId="0" borderId="14" xfId="1256" applyFont="1" applyBorder="1" applyAlignment="1">
      <alignment horizontal="right" vertical="center"/>
    </xf>
    <xf numFmtId="0" fontId="9" fillId="0" borderId="0" xfId="1256" applyFont="1" applyAlignment="1">
      <alignment vertical="center" wrapText="1"/>
    </xf>
    <xf numFmtId="0" fontId="9" fillId="0" borderId="15" xfId="1256" applyFont="1" applyBorder="1" applyAlignment="1">
      <alignment vertical="center" wrapText="1"/>
    </xf>
    <xf numFmtId="0" fontId="10" fillId="0" borderId="0" xfId="1256" applyFont="1" applyAlignment="1">
      <alignment horizontal="right" vertical="center"/>
    </xf>
    <xf numFmtId="0" fontId="75" fillId="0" borderId="0" xfId="1256" applyFont="1" applyAlignment="1">
      <alignment horizontal="center" vertical="center"/>
    </xf>
    <xf numFmtId="0" fontId="9" fillId="0" borderId="0" xfId="1256" applyFont="1" applyAlignment="1">
      <alignment horizontal="right" vertical="center"/>
    </xf>
    <xf numFmtId="0" fontId="9" fillId="37" borderId="46" xfId="1256" applyFont="1" applyFill="1" applyBorder="1" applyAlignment="1">
      <alignment vertical="center" wrapText="1" shrinkToFit="1"/>
    </xf>
    <xf numFmtId="0" fontId="86" fillId="0" borderId="0" xfId="1539" applyFont="1" applyAlignment="1">
      <alignment horizontal="center" vertical="center"/>
    </xf>
    <xf numFmtId="0" fontId="86" fillId="37" borderId="11" xfId="1539" applyFont="1" applyFill="1" applyBorder="1" applyAlignment="1" applyProtection="1">
      <alignment horizontal="left" vertical="center" shrinkToFit="1"/>
      <protection locked="0"/>
    </xf>
    <xf numFmtId="0" fontId="86" fillId="37" borderId="145" xfId="1539" applyFont="1" applyFill="1" applyBorder="1" applyAlignment="1" applyProtection="1">
      <alignment horizontal="left" vertical="center" shrinkToFit="1"/>
      <protection locked="0"/>
    </xf>
    <xf numFmtId="0" fontId="2" fillId="37" borderId="145" xfId="1539" applyFill="1" applyBorder="1" applyAlignment="1" applyProtection="1">
      <alignment vertical="center" shrinkToFit="1"/>
      <protection locked="0"/>
    </xf>
    <xf numFmtId="0" fontId="2" fillId="37" borderId="144" xfId="1539" applyFill="1" applyBorder="1" applyAlignment="1" applyProtection="1">
      <alignment vertical="center" shrinkToFit="1"/>
      <protection locked="0"/>
    </xf>
    <xf numFmtId="0" fontId="86" fillId="37" borderId="13" xfId="1539" applyFont="1" applyFill="1" applyBorder="1" applyAlignment="1" applyProtection="1">
      <alignment horizontal="left" vertical="center" shrinkToFit="1"/>
      <protection locked="0"/>
    </xf>
    <xf numFmtId="0" fontId="86" fillId="37" borderId="0" xfId="1539" applyFont="1" applyFill="1" applyAlignment="1" applyProtection="1">
      <alignment horizontal="left" vertical="center" shrinkToFit="1"/>
      <protection locked="0"/>
    </xf>
    <xf numFmtId="0" fontId="2" fillId="37" borderId="0" xfId="1539" applyFill="1" applyAlignment="1" applyProtection="1">
      <alignment vertical="center" shrinkToFit="1"/>
      <protection locked="0"/>
    </xf>
    <xf numFmtId="0" fontId="2" fillId="37" borderId="15" xfId="1539" applyFill="1" applyBorder="1" applyAlignment="1" applyProtection="1">
      <alignment vertical="center" shrinkToFit="1"/>
      <protection locked="0"/>
    </xf>
    <xf numFmtId="0" fontId="2" fillId="37" borderId="14" xfId="1539" applyFill="1" applyBorder="1" applyAlignment="1" applyProtection="1">
      <alignment vertical="center" shrinkToFit="1"/>
      <protection locked="0"/>
    </xf>
    <xf numFmtId="0" fontId="2" fillId="37" borderId="46" xfId="1539" applyFill="1" applyBorder="1" applyAlignment="1" applyProtection="1">
      <alignment vertical="center" shrinkToFit="1"/>
      <protection locked="0"/>
    </xf>
    <xf numFmtId="0" fontId="2" fillId="37" borderId="22" xfId="1539" applyFill="1" applyBorder="1" applyAlignment="1" applyProtection="1">
      <alignment vertical="center" shrinkToFit="1"/>
      <protection locked="0"/>
    </xf>
    <xf numFmtId="0" fontId="86" fillId="37" borderId="0" xfId="1539" applyFont="1" applyFill="1" applyAlignment="1" applyProtection="1">
      <alignment horizontal="left" vertical="center"/>
      <protection locked="0"/>
    </xf>
    <xf numFmtId="0" fontId="86" fillId="0" borderId="0" xfId="1539" applyFont="1" applyAlignment="1">
      <alignment vertical="center" wrapText="1"/>
    </xf>
    <xf numFmtId="0" fontId="2" fillId="0" borderId="0" xfId="1539" applyAlignment="1">
      <alignment vertical="center" wrapText="1"/>
    </xf>
    <xf numFmtId="0" fontId="88" fillId="0" borderId="0" xfId="1539" applyFont="1" applyAlignment="1">
      <alignment horizontal="left" vertical="center" wrapText="1"/>
    </xf>
    <xf numFmtId="0" fontId="84" fillId="0" borderId="0" xfId="1539" applyFont="1" applyAlignment="1">
      <alignment horizontal="center" vertical="center"/>
    </xf>
    <xf numFmtId="0" fontId="85" fillId="0" borderId="0" xfId="1539" applyFont="1" applyAlignment="1">
      <alignment horizontal="center" vertical="center"/>
    </xf>
    <xf numFmtId="0" fontId="2" fillId="0" borderId="0" xfId="1539">
      <alignment vertical="center"/>
    </xf>
    <xf numFmtId="31" fontId="54" fillId="0" borderId="0" xfId="1539" applyNumberFormat="1" applyFont="1" applyAlignment="1">
      <alignment horizontal="right" vertical="center"/>
    </xf>
    <xf numFmtId="0" fontId="54" fillId="0" borderId="0" xfId="1539" applyFont="1" applyAlignment="1">
      <alignment horizontal="right" vertical="center"/>
    </xf>
    <xf numFmtId="0" fontId="56" fillId="0" borderId="0" xfId="1539" applyFont="1" applyAlignment="1">
      <alignment vertical="center" wrapText="1"/>
    </xf>
    <xf numFmtId="0" fontId="49" fillId="0" borderId="0" xfId="1539" applyFont="1" applyAlignment="1">
      <alignment vertical="center" wrapText="1"/>
    </xf>
    <xf numFmtId="0" fontId="86" fillId="0" borderId="0" xfId="1539" applyFont="1" applyAlignment="1">
      <alignment horizontal="left" vertical="center" wrapText="1"/>
    </xf>
    <xf numFmtId="0" fontId="49" fillId="0" borderId="0" xfId="53" applyFont="1" applyAlignment="1">
      <alignment horizontal="center" vertical="center" shrinkToFit="1"/>
    </xf>
    <xf numFmtId="0" fontId="95" fillId="0" borderId="0" xfId="1542" applyFont="1" applyAlignment="1">
      <alignment horizontal="left" vertical="center"/>
    </xf>
    <xf numFmtId="0" fontId="0" fillId="0" borderId="11" xfId="1542" applyFont="1" applyBorder="1" applyAlignment="1">
      <alignment horizontal="center" vertical="center"/>
    </xf>
    <xf numFmtId="0" fontId="0" fillId="0" borderId="144" xfId="1542" applyFont="1" applyBorder="1" applyAlignment="1">
      <alignment horizontal="center" vertical="center"/>
    </xf>
    <xf numFmtId="0" fontId="0" fillId="0" borderId="13" xfId="1542" applyFont="1" applyBorder="1" applyAlignment="1">
      <alignment horizontal="center" vertical="center"/>
    </xf>
    <xf numFmtId="0" fontId="0" fillId="0" borderId="15" xfId="1542" applyFont="1" applyBorder="1" applyAlignment="1">
      <alignment horizontal="center" vertical="center"/>
    </xf>
    <xf numFmtId="0" fontId="0" fillId="0" borderId="86" xfId="1542" applyFont="1" applyBorder="1" applyAlignment="1">
      <alignment horizontal="center" vertical="center"/>
    </xf>
    <xf numFmtId="0" fontId="0" fillId="0" borderId="85" xfId="1542" applyFont="1" applyBorder="1" applyAlignment="1">
      <alignment horizontal="center" vertical="center"/>
    </xf>
    <xf numFmtId="0" fontId="0" fillId="35" borderId="13" xfId="1542" applyFont="1" applyFill="1" applyBorder="1" applyAlignment="1">
      <alignment horizontal="center" vertical="center" shrinkToFit="1"/>
    </xf>
    <xf numFmtId="0" fontId="0" fillId="35" borderId="15" xfId="1542" applyFont="1" applyFill="1" applyBorder="1" applyAlignment="1">
      <alignment horizontal="center" vertical="center" shrinkToFit="1"/>
    </xf>
    <xf numFmtId="0" fontId="0" fillId="35" borderId="11" xfId="1542" applyFont="1" applyFill="1" applyBorder="1" applyAlignment="1">
      <alignment horizontal="center" vertical="center"/>
    </xf>
    <xf numFmtId="0" fontId="0" fillId="35" borderId="144" xfId="1542" applyFont="1" applyFill="1" applyBorder="1" applyAlignment="1">
      <alignment horizontal="center" vertical="center"/>
    </xf>
    <xf numFmtId="0" fontId="0" fillId="35" borderId="21" xfId="1542" applyFont="1" applyFill="1" applyBorder="1" applyAlignment="1">
      <alignment horizontal="center" vertical="center"/>
    </xf>
    <xf numFmtId="0" fontId="0" fillId="35" borderId="32" xfId="1542" applyFont="1" applyFill="1" applyBorder="1" applyAlignment="1">
      <alignment horizontal="center" vertical="center"/>
    </xf>
    <xf numFmtId="0" fontId="0" fillId="0" borderId="49" xfId="1542" applyFont="1" applyBorder="1" applyAlignment="1">
      <alignment horizontal="center" vertical="center"/>
    </xf>
    <xf numFmtId="0" fontId="0" fillId="0" borderId="81" xfId="1542" applyFont="1" applyBorder="1" applyAlignment="1">
      <alignment horizontal="center" vertical="center"/>
    </xf>
    <xf numFmtId="0" fontId="0" fillId="0" borderId="84" xfId="1542" applyFont="1" applyBorder="1" applyAlignment="1">
      <alignment horizontal="center" vertical="center"/>
    </xf>
    <xf numFmtId="0" fontId="0" fillId="39" borderId="46" xfId="1542" applyFont="1" applyFill="1" applyBorder="1" applyAlignment="1">
      <alignment horizontal="center" vertical="center"/>
    </xf>
    <xf numFmtId="0" fontId="0" fillId="0" borderId="49" xfId="1542" applyFont="1" applyBorder="1" applyAlignment="1">
      <alignment horizontal="center" vertical="center" wrapText="1"/>
    </xf>
    <xf numFmtId="0" fontId="0" fillId="0" borderId="81" xfId="1542" applyFont="1" applyBorder="1" applyAlignment="1">
      <alignment horizontal="center" vertical="center" wrapText="1"/>
    </xf>
    <xf numFmtId="0" fontId="0" fillId="0" borderId="84" xfId="1542" applyFont="1" applyBorder="1" applyAlignment="1">
      <alignment horizontal="center" vertical="center" wrapText="1"/>
    </xf>
    <xf numFmtId="0" fontId="95" fillId="0" borderId="46" xfId="1542" applyFont="1" applyBorder="1" applyAlignment="1">
      <alignment horizontal="left" vertical="center"/>
    </xf>
    <xf numFmtId="0" fontId="0" fillId="0" borderId="21" xfId="1542" applyFont="1" applyBorder="1" applyAlignment="1">
      <alignment horizontal="center" vertical="center"/>
    </xf>
    <xf numFmtId="0" fontId="0" fillId="0" borderId="52" xfId="1542" applyFont="1" applyBorder="1" applyAlignment="1">
      <alignment horizontal="center" vertical="center"/>
    </xf>
    <xf numFmtId="0" fontId="0" fillId="0" borderId="32" xfId="1542" applyFont="1" applyBorder="1" applyAlignment="1">
      <alignment horizontal="center" vertical="center"/>
    </xf>
    <xf numFmtId="0" fontId="0" fillId="39" borderId="52" xfId="1542" applyFont="1" applyFill="1" applyBorder="1" applyAlignment="1">
      <alignment horizontal="left"/>
    </xf>
    <xf numFmtId="0" fontId="0" fillId="35" borderId="14" xfId="1542" applyFont="1" applyFill="1" applyBorder="1" applyAlignment="1">
      <alignment horizontal="center" vertical="center"/>
    </xf>
    <xf numFmtId="0" fontId="0" fillId="35" borderId="22" xfId="1542" applyFont="1" applyFill="1" applyBorder="1" applyAlignment="1">
      <alignment horizontal="center" vertical="center"/>
    </xf>
    <xf numFmtId="181" fontId="0" fillId="0" borderId="49" xfId="1542" applyNumberFormat="1" applyFont="1" applyBorder="1" applyAlignment="1">
      <alignment horizontal="center" vertical="center"/>
    </xf>
    <xf numFmtId="181" fontId="0" fillId="0" borderId="81" xfId="1542" applyNumberFormat="1" applyFont="1" applyBorder="1" applyAlignment="1">
      <alignment horizontal="center" vertical="center"/>
    </xf>
    <xf numFmtId="0" fontId="22" fillId="0" borderId="100" xfId="0" applyFont="1" applyBorder="1" applyAlignment="1">
      <alignment horizontal="left" vertical="center" wrapText="1"/>
    </xf>
    <xf numFmtId="0" fontId="22" fillId="0" borderId="101" xfId="0" applyFont="1" applyBorder="1" applyAlignment="1">
      <alignment horizontal="center" vertical="center" wrapText="1"/>
    </xf>
    <xf numFmtId="0" fontId="22" fillId="0" borderId="0" xfId="0" applyFont="1" applyAlignment="1">
      <alignment horizontal="center" vertical="center" wrapText="1"/>
    </xf>
    <xf numFmtId="0" fontId="22" fillId="0" borderId="131" xfId="0" applyFont="1" applyBorder="1" applyAlignment="1">
      <alignment horizontal="center" vertical="center" wrapText="1"/>
    </xf>
    <xf numFmtId="0" fontId="22" fillId="0" borderId="101" xfId="0" applyFont="1" applyBorder="1" applyAlignment="1">
      <alignment horizontal="left" vertical="center" wrapText="1"/>
    </xf>
    <xf numFmtId="0" fontId="22" fillId="0" borderId="0" xfId="0" applyFont="1" applyAlignment="1">
      <alignment horizontal="left" vertical="center" wrapText="1"/>
    </xf>
    <xf numFmtId="0" fontId="22" fillId="0" borderId="131" xfId="0" applyFont="1" applyBorder="1" applyAlignment="1">
      <alignment horizontal="left" vertical="center" wrapText="1"/>
    </xf>
    <xf numFmtId="0" fontId="22" fillId="37" borderId="0" xfId="0" applyFont="1" applyFill="1" applyAlignment="1">
      <alignment horizontal="right" vertical="center" wrapText="1"/>
    </xf>
    <xf numFmtId="0" fontId="22" fillId="37" borderId="131" xfId="0" applyFont="1" applyFill="1" applyBorder="1" applyAlignment="1">
      <alignment horizontal="right" vertical="center" wrapText="1"/>
    </xf>
    <xf numFmtId="0" fontId="22" fillId="0" borderId="132" xfId="0" applyFont="1" applyBorder="1" applyAlignment="1">
      <alignment horizontal="left" vertical="top" wrapText="1"/>
    </xf>
    <xf numFmtId="0" fontId="22" fillId="0" borderId="133" xfId="0" applyFont="1" applyBorder="1" applyAlignment="1">
      <alignment horizontal="left" vertical="top" wrapText="1"/>
    </xf>
    <xf numFmtId="14" fontId="22" fillId="37" borderId="0" xfId="0" applyNumberFormat="1" applyFont="1" applyFill="1" applyAlignment="1">
      <alignment horizontal="right" vertical="center" wrapText="1"/>
    </xf>
    <xf numFmtId="0" fontId="22" fillId="37" borderId="101" xfId="0" applyFont="1" applyFill="1" applyBorder="1" applyAlignment="1">
      <alignment horizontal="right" vertical="center" wrapText="1"/>
    </xf>
    <xf numFmtId="0" fontId="22" fillId="37" borderId="101" xfId="0" applyFont="1" applyFill="1" applyBorder="1" applyAlignment="1">
      <alignment horizontal="left" vertical="center" wrapText="1"/>
    </xf>
    <xf numFmtId="0" fontId="22" fillId="37" borderId="0" xfId="0" applyFont="1" applyFill="1" applyAlignment="1">
      <alignment horizontal="left" vertical="center" wrapText="1"/>
    </xf>
    <xf numFmtId="0" fontId="22" fillId="37" borderId="131" xfId="0" applyFont="1" applyFill="1" applyBorder="1" applyAlignment="1">
      <alignment horizontal="left" vertical="center" wrapText="1"/>
    </xf>
    <xf numFmtId="0" fontId="22" fillId="0" borderId="137" xfId="0" applyFont="1" applyBorder="1" applyAlignment="1">
      <alignment horizontal="justify" vertical="top" wrapText="1"/>
    </xf>
    <xf numFmtId="0" fontId="22" fillId="0" borderId="99" xfId="0" applyFont="1" applyBorder="1" applyAlignment="1">
      <alignment horizontal="left" vertical="center" wrapText="1"/>
    </xf>
    <xf numFmtId="0" fontId="22" fillId="0" borderId="134" xfId="0" applyFont="1" applyBorder="1" applyAlignment="1">
      <alignment horizontal="left" vertical="center" wrapText="1"/>
    </xf>
    <xf numFmtId="0" fontId="22" fillId="0" borderId="135" xfId="0" applyFont="1" applyBorder="1" applyAlignment="1">
      <alignment horizontal="left" vertical="center" wrapText="1"/>
    </xf>
    <xf numFmtId="0" fontId="22" fillId="0" borderId="136" xfId="0" applyFont="1" applyBorder="1" applyAlignment="1">
      <alignment horizontal="left" vertical="center" wrapText="1"/>
    </xf>
    <xf numFmtId="0" fontId="22" fillId="37" borderId="99" xfId="0" applyFont="1" applyFill="1" applyBorder="1" applyAlignment="1">
      <alignment horizontal="left" vertical="center" wrapText="1"/>
    </xf>
    <xf numFmtId="0" fontId="22" fillId="37" borderId="134" xfId="0" applyFont="1" applyFill="1" applyBorder="1" applyAlignment="1">
      <alignment horizontal="left" vertical="center" wrapText="1"/>
    </xf>
    <xf numFmtId="0" fontId="22" fillId="37" borderId="132" xfId="0" applyFont="1" applyFill="1" applyBorder="1" applyAlignment="1">
      <alignment horizontal="left" vertical="center" wrapText="1"/>
    </xf>
    <xf numFmtId="0" fontId="22" fillId="37" borderId="133" xfId="0" applyFont="1" applyFill="1" applyBorder="1" applyAlignment="1">
      <alignment horizontal="left" vertical="center" wrapText="1"/>
    </xf>
    <xf numFmtId="0" fontId="22" fillId="37" borderId="135" xfId="0" applyFont="1" applyFill="1" applyBorder="1" applyAlignment="1">
      <alignment horizontal="left" vertical="center" wrapText="1"/>
    </xf>
    <xf numFmtId="0" fontId="22" fillId="37" borderId="136" xfId="0" applyFont="1" applyFill="1" applyBorder="1" applyAlignment="1">
      <alignment horizontal="left" vertical="center" wrapText="1"/>
    </xf>
    <xf numFmtId="0" fontId="22" fillId="0" borderId="101" xfId="0" applyFont="1" applyBorder="1" applyAlignment="1">
      <alignment horizontal="center" vertical="center" shrinkToFit="1"/>
    </xf>
    <xf numFmtId="0" fontId="22" fillId="0" borderId="0" xfId="0" applyFont="1" applyAlignment="1">
      <alignment horizontal="center" vertical="center" shrinkToFit="1"/>
    </xf>
    <xf numFmtId="0" fontId="22" fillId="0" borderId="0" xfId="0" applyFont="1" applyAlignment="1">
      <alignment horizontal="left" vertical="top" wrapText="1"/>
    </xf>
    <xf numFmtId="0" fontId="22" fillId="0" borderId="131" xfId="0" applyFont="1" applyBorder="1" applyAlignment="1">
      <alignment horizontal="left" vertical="top" wrapText="1"/>
    </xf>
    <xf numFmtId="0" fontId="22" fillId="0" borderId="132" xfId="0" applyFont="1" applyBorder="1" applyAlignment="1">
      <alignment horizontal="left" vertical="center" wrapText="1"/>
    </xf>
    <xf numFmtId="0" fontId="22" fillId="0" borderId="133" xfId="0" applyFont="1" applyBorder="1" applyAlignment="1">
      <alignment horizontal="left" vertical="center" wrapText="1"/>
    </xf>
    <xf numFmtId="0" fontId="97" fillId="0" borderId="98" xfId="1543" applyFont="1" applyBorder="1" applyAlignment="1">
      <alignment horizontal="left" vertical="center" wrapText="1" indent="1"/>
    </xf>
    <xf numFmtId="0" fontId="97" fillId="0" borderId="97" xfId="1543" applyFont="1" applyBorder="1" applyAlignment="1">
      <alignment horizontal="left" vertical="center" wrapText="1" indent="1"/>
    </xf>
    <xf numFmtId="0" fontId="97" fillId="0" borderId="96" xfId="1543" applyFont="1" applyBorder="1" applyAlignment="1">
      <alignment horizontal="left" vertical="center" wrapText="1" indent="1"/>
    </xf>
    <xf numFmtId="0" fontId="97" fillId="0" borderId="94" xfId="1543" applyFont="1" applyBorder="1" applyAlignment="1">
      <alignment horizontal="left" vertical="top" wrapText="1" indent="1"/>
    </xf>
    <xf numFmtId="0" fontId="97" fillId="0" borderId="138" xfId="1543" applyFont="1" applyBorder="1" applyAlignment="1">
      <alignment horizontal="left" vertical="top" wrapText="1" indent="1"/>
    </xf>
    <xf numFmtId="0" fontId="96" fillId="0" borderId="98" xfId="1543" applyBorder="1" applyAlignment="1">
      <alignment horizontal="left" vertical="top" wrapText="1" indent="1"/>
    </xf>
    <xf numFmtId="0" fontId="96" fillId="0" borderId="97" xfId="1543" applyBorder="1" applyAlignment="1">
      <alignment horizontal="left" vertical="top" wrapText="1" indent="1"/>
    </xf>
    <xf numFmtId="0" fontId="96" fillId="0" borderId="96" xfId="1543" applyBorder="1" applyAlignment="1">
      <alignment horizontal="left" vertical="top" wrapText="1" indent="1"/>
    </xf>
    <xf numFmtId="0" fontId="97" fillId="0" borderId="89" xfId="1543" applyFont="1" applyBorder="1" applyAlignment="1">
      <alignment horizontal="left" vertical="top" wrapText="1" indent="1"/>
    </xf>
    <xf numFmtId="0" fontId="97" fillId="0" borderId="0" xfId="1543" applyFont="1" applyAlignment="1">
      <alignment horizontal="left" vertical="top" wrapText="1" indent="1"/>
    </xf>
    <xf numFmtId="0" fontId="105" fillId="0" borderId="91" xfId="1543" applyFont="1" applyBorder="1" applyAlignment="1">
      <alignment horizontal="left" vertical="top" wrapText="1" indent="1"/>
    </xf>
    <xf numFmtId="0" fontId="107" fillId="0" borderId="95" xfId="1543" applyFont="1" applyBorder="1" applyAlignment="1">
      <alignment horizontal="left" vertical="top" wrapText="1" indent="1"/>
    </xf>
    <xf numFmtId="0" fontId="107" fillId="0" borderId="93" xfId="1543" applyFont="1" applyBorder="1" applyAlignment="1">
      <alignment horizontal="left" vertical="top" wrapText="1" indent="1"/>
    </xf>
    <xf numFmtId="0" fontId="109" fillId="46" borderId="139" xfId="1543" applyFont="1" applyFill="1" applyBorder="1" applyAlignment="1">
      <alignment horizontal="left" vertical="top" wrapText="1"/>
    </xf>
    <xf numFmtId="0" fontId="110" fillId="46" borderId="140" xfId="1543" applyFont="1" applyFill="1" applyBorder="1" applyAlignment="1">
      <alignment horizontal="left" vertical="top" wrapText="1"/>
    </xf>
    <xf numFmtId="0" fontId="110" fillId="46" borderId="141" xfId="1543" applyFont="1" applyFill="1" applyBorder="1" applyAlignment="1">
      <alignment horizontal="left" vertical="top" wrapText="1"/>
    </xf>
    <xf numFmtId="0" fontId="100" fillId="0" borderId="139" xfId="1543" applyFont="1" applyBorder="1" applyAlignment="1">
      <alignment horizontal="left" vertical="top" wrapText="1"/>
    </xf>
    <xf numFmtId="0" fontId="100" fillId="0" borderId="140" xfId="1543" applyFont="1" applyBorder="1" applyAlignment="1">
      <alignment horizontal="left" vertical="top" wrapText="1"/>
    </xf>
    <xf numFmtId="0" fontId="100" fillId="0" borderId="141" xfId="1543" applyFont="1" applyBorder="1" applyAlignment="1">
      <alignment horizontal="left" vertical="top" wrapText="1"/>
    </xf>
    <xf numFmtId="0" fontId="97" fillId="0" borderId="90" xfId="1543" applyFont="1" applyBorder="1" applyAlignment="1">
      <alignment horizontal="left" vertical="top" wrapText="1" indent="1"/>
    </xf>
    <xf numFmtId="0" fontId="97" fillId="0" borderId="139" xfId="1543" applyFont="1" applyBorder="1" applyAlignment="1">
      <alignment horizontal="left" vertical="top" wrapText="1" indent="1"/>
    </xf>
    <xf numFmtId="0" fontId="97" fillId="0" borderId="140" xfId="1543" applyFont="1" applyBorder="1" applyAlignment="1">
      <alignment horizontal="left" vertical="top" wrapText="1" indent="1"/>
    </xf>
    <xf numFmtId="0" fontId="97" fillId="0" borderId="141" xfId="1543" applyFont="1" applyBorder="1" applyAlignment="1">
      <alignment horizontal="left" vertical="top" wrapText="1" indent="1"/>
    </xf>
    <xf numFmtId="0" fontId="96" fillId="0" borderId="98" xfId="1543" applyBorder="1" applyAlignment="1">
      <alignment horizontal="left" vertical="top" wrapText="1"/>
    </xf>
    <xf numFmtId="0" fontId="96" fillId="0" borderId="96" xfId="1543" applyBorder="1" applyAlignment="1">
      <alignment horizontal="left" vertical="top" wrapText="1"/>
    </xf>
    <xf numFmtId="0" fontId="97" fillId="0" borderId="91" xfId="1543" applyFont="1" applyBorder="1" applyAlignment="1">
      <alignment horizontal="left" vertical="top" wrapText="1" indent="1"/>
    </xf>
    <xf numFmtId="0" fontId="97" fillId="0" borderId="95" xfId="1543" applyFont="1" applyBorder="1" applyAlignment="1">
      <alignment horizontal="left" vertical="top" wrapText="1" indent="1"/>
    </xf>
    <xf numFmtId="0" fontId="97" fillId="0" borderId="93" xfId="1543" applyFont="1" applyBorder="1" applyAlignment="1">
      <alignment horizontal="left" vertical="top" wrapText="1" indent="1"/>
    </xf>
    <xf numFmtId="0" fontId="97" fillId="0" borderId="94" xfId="1543" applyFont="1" applyBorder="1" applyAlignment="1">
      <alignment horizontal="left" vertical="top" wrapText="1" indent="2"/>
    </xf>
    <xf numFmtId="0" fontId="97" fillId="0" borderId="138" xfId="1543" applyFont="1" applyBorder="1" applyAlignment="1">
      <alignment horizontal="left" vertical="top" wrapText="1" indent="2"/>
    </xf>
    <xf numFmtId="0" fontId="96" fillId="0" borderId="98" xfId="1543" applyBorder="1" applyAlignment="1">
      <alignment horizontal="left" vertical="center" wrapText="1" indent="1"/>
    </xf>
    <xf numFmtId="0" fontId="96" fillId="0" borderId="97" xfId="1543" applyBorder="1" applyAlignment="1">
      <alignment horizontal="left" vertical="center" wrapText="1" indent="1"/>
    </xf>
    <xf numFmtId="0" fontId="96" fillId="0" borderId="96" xfId="1543" applyBorder="1" applyAlignment="1">
      <alignment horizontal="left" vertical="center" wrapText="1" indent="1"/>
    </xf>
    <xf numFmtId="0" fontId="97" fillId="0" borderId="88" xfId="1543" applyFont="1" applyBorder="1" applyAlignment="1">
      <alignment horizontal="left" vertical="top" wrapText="1" indent="1"/>
    </xf>
    <xf numFmtId="0" fontId="97" fillId="0" borderId="89" xfId="1543" applyFont="1" applyBorder="1" applyAlignment="1">
      <alignment horizontal="left" vertical="top" wrapText="1" indent="2"/>
    </xf>
    <xf numFmtId="0" fontId="97" fillId="0" borderId="0" xfId="1543" applyFont="1" applyAlignment="1">
      <alignment horizontal="left" vertical="top" wrapText="1" indent="2"/>
    </xf>
    <xf numFmtId="0" fontId="97" fillId="0" borderId="88" xfId="1543" applyFont="1" applyBorder="1" applyAlignment="1">
      <alignment horizontal="left" vertical="top" wrapText="1" indent="2"/>
    </xf>
    <xf numFmtId="0" fontId="102" fillId="0" borderId="98" xfId="1543" applyFont="1" applyBorder="1" applyAlignment="1">
      <alignment horizontal="left" vertical="top" wrapText="1"/>
    </xf>
    <xf numFmtId="0" fontId="102" fillId="0" borderId="97" xfId="1543" applyFont="1" applyBorder="1" applyAlignment="1">
      <alignment horizontal="left" vertical="top" wrapText="1"/>
    </xf>
    <xf numFmtId="0" fontId="102" fillId="0" borderId="96" xfId="1543" applyFont="1" applyBorder="1" applyAlignment="1">
      <alignment horizontal="left" vertical="top" wrapText="1"/>
    </xf>
    <xf numFmtId="0" fontId="97" fillId="0" borderId="94" xfId="1543" applyFont="1" applyBorder="1" applyAlignment="1">
      <alignment horizontal="left" vertical="top" wrapText="1"/>
    </xf>
    <xf numFmtId="0" fontId="97" fillId="0" borderId="138" xfId="1543" applyFont="1" applyBorder="1" applyAlignment="1">
      <alignment horizontal="left" vertical="top" wrapText="1"/>
    </xf>
    <xf numFmtId="0" fontId="97" fillId="0" borderId="90" xfId="1543" applyFont="1" applyBorder="1" applyAlignment="1">
      <alignment horizontal="left" vertical="top" wrapText="1"/>
    </xf>
    <xf numFmtId="0" fontId="97" fillId="0" borderId="91" xfId="1543" applyFont="1" applyBorder="1" applyAlignment="1">
      <alignment horizontal="left" vertical="top" wrapText="1"/>
    </xf>
    <xf numFmtId="0" fontId="97" fillId="0" borderId="95" xfId="1543" applyFont="1" applyBorder="1" applyAlignment="1">
      <alignment horizontal="left" vertical="top" wrapText="1"/>
    </xf>
    <xf numFmtId="0" fontId="97" fillId="0" borderId="93" xfId="1543" applyFont="1" applyBorder="1" applyAlignment="1">
      <alignment horizontal="left" vertical="top" wrapText="1"/>
    </xf>
    <xf numFmtId="0" fontId="97" fillId="0" borderId="98" xfId="1543" applyFont="1" applyBorder="1" applyAlignment="1">
      <alignment horizontal="left" vertical="top" wrapText="1"/>
    </xf>
    <xf numFmtId="0" fontId="97" fillId="0" borderId="96" xfId="1543" applyFont="1" applyBorder="1" applyAlignment="1">
      <alignment horizontal="left" vertical="top" wrapText="1"/>
    </xf>
    <xf numFmtId="0" fontId="99" fillId="0" borderId="139" xfId="1543" applyFont="1" applyBorder="1" applyAlignment="1">
      <alignment horizontal="left" vertical="top" wrapText="1"/>
    </xf>
    <xf numFmtId="0" fontId="99" fillId="0" borderId="140" xfId="1543" applyFont="1" applyBorder="1" applyAlignment="1">
      <alignment horizontal="left" vertical="top" wrapText="1"/>
    </xf>
    <xf numFmtId="0" fontId="99" fillId="0" borderId="141" xfId="1543" applyFont="1" applyBorder="1" applyAlignment="1">
      <alignment horizontal="left" vertical="top" wrapText="1"/>
    </xf>
    <xf numFmtId="0" fontId="104" fillId="0" borderId="95" xfId="1543" applyFont="1" applyBorder="1" applyAlignment="1">
      <alignment horizontal="left" vertical="top" wrapText="1"/>
    </xf>
    <xf numFmtId="0" fontId="96" fillId="0" borderId="139" xfId="1543" applyBorder="1" applyAlignment="1">
      <alignment horizontal="left" vertical="center" wrapText="1"/>
    </xf>
    <xf numFmtId="0" fontId="96" fillId="0" borderId="140" xfId="1543" applyBorder="1" applyAlignment="1">
      <alignment horizontal="left" vertical="center" wrapText="1"/>
    </xf>
    <xf numFmtId="0" fontId="96" fillId="0" borderId="141" xfId="1543" applyBorder="1" applyAlignment="1">
      <alignment horizontal="left" vertical="center" wrapText="1"/>
    </xf>
    <xf numFmtId="0" fontId="96" fillId="0" borderId="140" xfId="1543" applyBorder="1" applyAlignment="1">
      <alignment horizontal="left" wrapText="1"/>
    </xf>
    <xf numFmtId="0" fontId="109" fillId="46" borderId="94" xfId="1543" applyFont="1" applyFill="1" applyBorder="1" applyAlignment="1">
      <alignment horizontal="left" vertical="top" wrapText="1"/>
    </xf>
    <xf numFmtId="0" fontId="110" fillId="46" borderId="138" xfId="1543" applyFont="1" applyFill="1" applyBorder="1" applyAlignment="1">
      <alignment horizontal="left" vertical="top" wrapText="1"/>
    </xf>
    <xf numFmtId="0" fontId="110" fillId="46" borderId="90" xfId="1543" applyFont="1" applyFill="1" applyBorder="1" applyAlignment="1">
      <alignment horizontal="left" vertical="top" wrapText="1"/>
    </xf>
    <xf numFmtId="0" fontId="97" fillId="0" borderId="89" xfId="1543" applyFont="1" applyBorder="1" applyAlignment="1">
      <alignment horizontal="left" vertical="top" wrapText="1"/>
    </xf>
    <xf numFmtId="0" fontId="98" fillId="0" borderId="0" xfId="1543" applyFont="1" applyAlignment="1">
      <alignment horizontal="left" vertical="top" wrapText="1"/>
    </xf>
    <xf numFmtId="0" fontId="98" fillId="0" borderId="88" xfId="1543" applyFont="1" applyBorder="1" applyAlignment="1">
      <alignment horizontal="left" vertical="top" wrapText="1"/>
    </xf>
    <xf numFmtId="0" fontId="97" fillId="0" borderId="0" xfId="1543" applyFont="1" applyAlignment="1">
      <alignment horizontal="left" vertical="top" wrapText="1"/>
    </xf>
    <xf numFmtId="0" fontId="97" fillId="0" borderId="88" xfId="1543" applyFont="1" applyBorder="1" applyAlignment="1">
      <alignment horizontal="left" vertical="top" wrapText="1"/>
    </xf>
    <xf numFmtId="0" fontId="99" fillId="0" borderId="138" xfId="1543" applyFont="1" applyBorder="1" applyAlignment="1">
      <alignment horizontal="left" vertical="top" wrapText="1"/>
    </xf>
    <xf numFmtId="0" fontId="99" fillId="0" borderId="90" xfId="1543" applyFont="1" applyBorder="1" applyAlignment="1">
      <alignment horizontal="left" vertical="top" wrapText="1"/>
    </xf>
    <xf numFmtId="0" fontId="98" fillId="0" borderId="89" xfId="1543" applyFont="1" applyBorder="1" applyAlignment="1">
      <alignment horizontal="left" vertical="top" wrapText="1"/>
    </xf>
    <xf numFmtId="0" fontId="99" fillId="0" borderId="145" xfId="1543" applyFont="1" applyBorder="1" applyAlignment="1">
      <alignment horizontal="left" vertical="top" wrapText="1"/>
    </xf>
    <xf numFmtId="0" fontId="99" fillId="0" borderId="142" xfId="1543" applyFont="1" applyBorder="1" applyAlignment="1">
      <alignment horizontal="left" vertical="top" wrapText="1"/>
    </xf>
    <xf numFmtId="0" fontId="98" fillId="0" borderId="46" xfId="1543" applyFont="1" applyBorder="1" applyAlignment="1">
      <alignment horizontal="left" vertical="top" wrapText="1"/>
    </xf>
    <xf numFmtId="0" fontId="98" fillId="0" borderId="143" xfId="1543" applyFont="1" applyBorder="1" applyAlignment="1">
      <alignment horizontal="left" vertical="top" wrapText="1"/>
    </xf>
    <xf numFmtId="0" fontId="58" fillId="0" borderId="0" xfId="0" applyFont="1" applyAlignment="1">
      <alignment vertical="center" wrapText="1"/>
    </xf>
    <xf numFmtId="0" fontId="0" fillId="0" borderId="0" xfId="0" applyAlignment="1">
      <alignment vertical="center" wrapText="1"/>
    </xf>
    <xf numFmtId="0" fontId="8" fillId="39" borderId="0" xfId="55" applyFont="1" applyFill="1" applyAlignment="1">
      <alignment horizontal="left" vertical="top" shrinkToFit="1"/>
    </xf>
    <xf numFmtId="0" fontId="8" fillId="39" borderId="46" xfId="55" applyFont="1" applyFill="1" applyBorder="1" applyAlignment="1">
      <alignment horizontal="left" vertical="top"/>
    </xf>
    <xf numFmtId="0" fontId="9" fillId="0" borderId="0" xfId="0" applyFont="1" applyAlignment="1">
      <alignment horizontal="right" vertical="center"/>
    </xf>
    <xf numFmtId="0" fontId="9" fillId="0" borderId="11" xfId="1539" applyFont="1" applyBorder="1">
      <alignment vertical="center"/>
    </xf>
    <xf numFmtId="0" fontId="9" fillId="0" borderId="145" xfId="1539" applyFont="1" applyBorder="1">
      <alignment vertical="center"/>
    </xf>
    <xf numFmtId="0" fontId="2" fillId="0" borderId="145" xfId="1539" applyBorder="1">
      <alignment vertical="center"/>
    </xf>
    <xf numFmtId="0" fontId="2" fillId="0" borderId="144" xfId="1539" applyBorder="1">
      <alignment vertical="center"/>
    </xf>
    <xf numFmtId="0" fontId="2" fillId="0" borderId="13" xfId="1539" applyBorder="1">
      <alignment vertical="center"/>
    </xf>
    <xf numFmtId="0" fontId="2" fillId="0" borderId="15" xfId="1539" applyBorder="1">
      <alignment vertical="center"/>
    </xf>
    <xf numFmtId="0" fontId="2" fillId="0" borderId="14" xfId="1539" applyBorder="1">
      <alignment vertical="center"/>
    </xf>
    <xf numFmtId="0" fontId="2" fillId="0" borderId="46" xfId="1539" applyBorder="1">
      <alignment vertical="center"/>
    </xf>
    <xf numFmtId="0" fontId="2" fillId="0" borderId="22" xfId="1539" applyBorder="1">
      <alignment vertical="center"/>
    </xf>
    <xf numFmtId="0" fontId="9" fillId="0" borderId="0" xfId="1539" applyFont="1">
      <alignment vertical="center"/>
    </xf>
    <xf numFmtId="0" fontId="9" fillId="0" borderId="145" xfId="0" applyFont="1" applyBorder="1" applyAlignment="1">
      <alignment horizontal="right" vertical="center"/>
    </xf>
    <xf numFmtId="0" fontId="0" fillId="0" borderId="145" xfId="0" applyBorder="1" applyAlignment="1">
      <alignment horizontal="right" vertical="center"/>
    </xf>
    <xf numFmtId="0" fontId="9" fillId="40" borderId="11" xfId="1539" applyFont="1" applyFill="1" applyBorder="1" applyAlignment="1" applyProtection="1">
      <alignment horizontal="center" vertical="center"/>
      <protection locked="0"/>
    </xf>
    <xf numFmtId="0" fontId="2" fillId="40" borderId="145" xfId="1539" applyFill="1" applyBorder="1" applyAlignment="1">
      <alignment horizontal="center" vertical="center"/>
    </xf>
    <xf numFmtId="0" fontId="9" fillId="37" borderId="13" xfId="1539" applyFont="1" applyFill="1" applyBorder="1" applyAlignment="1">
      <alignment vertical="center" wrapText="1" shrinkToFit="1"/>
    </xf>
    <xf numFmtId="0" fontId="2" fillId="37" borderId="0" xfId="1539" applyFill="1" applyAlignment="1">
      <alignment vertical="center" wrapText="1" shrinkToFit="1"/>
    </xf>
    <xf numFmtId="0" fontId="2" fillId="37" borderId="15" xfId="1539" applyFill="1" applyBorder="1" applyAlignment="1">
      <alignment vertical="center" wrapText="1" shrinkToFit="1"/>
    </xf>
    <xf numFmtId="0" fontId="2" fillId="37" borderId="13" xfId="1539" applyFill="1" applyBorder="1" applyAlignment="1">
      <alignment vertical="center" wrapText="1" shrinkToFit="1"/>
    </xf>
    <xf numFmtId="0" fontId="2" fillId="37" borderId="14" xfId="1539" applyFill="1" applyBorder="1" applyAlignment="1">
      <alignment vertical="center" wrapText="1" shrinkToFit="1"/>
    </xf>
    <xf numFmtId="0" fontId="2" fillId="37" borderId="46" xfId="1539" applyFill="1" applyBorder="1" applyAlignment="1">
      <alignment vertical="center" wrapText="1" shrinkToFit="1"/>
    </xf>
    <xf numFmtId="0" fontId="2" fillId="37" borderId="22" xfId="1539" applyFill="1" applyBorder="1" applyAlignment="1">
      <alignment vertical="center" wrapText="1" shrinkToFit="1"/>
    </xf>
    <xf numFmtId="0" fontId="9" fillId="0" borderId="21" xfId="1539" applyFont="1" applyBorder="1" applyAlignment="1">
      <alignment horizontal="left" vertical="center"/>
    </xf>
    <xf numFmtId="0" fontId="9" fillId="0" borderId="52" xfId="1539" applyFont="1" applyBorder="1" applyAlignment="1">
      <alignment horizontal="left" vertical="center"/>
    </xf>
    <xf numFmtId="0" fontId="2" fillId="0" borderId="52" xfId="1539" applyBorder="1" applyAlignment="1">
      <alignment horizontal="left" vertical="center"/>
    </xf>
    <xf numFmtId="0" fontId="2" fillId="0" borderId="32" xfId="1539" applyBorder="1" applyAlignment="1">
      <alignment horizontal="left" vertical="center"/>
    </xf>
    <xf numFmtId="0" fontId="9" fillId="0" borderId="21" xfId="1539" applyFont="1" applyBorder="1">
      <alignment vertical="center"/>
    </xf>
    <xf numFmtId="0" fontId="2" fillId="0" borderId="52" xfId="1539" applyBorder="1">
      <alignment vertical="center"/>
    </xf>
    <xf numFmtId="0" fontId="2" fillId="0" borderId="32" xfId="1539" applyBorder="1">
      <alignment vertical="center"/>
    </xf>
    <xf numFmtId="0" fontId="9" fillId="0" borderId="52" xfId="1539" applyFont="1" applyBorder="1">
      <alignment vertical="center"/>
    </xf>
    <xf numFmtId="0" fontId="9" fillId="0" borderId="11" xfId="1539" applyFont="1" applyBorder="1" applyAlignment="1">
      <alignment horizontal="left" vertical="center"/>
    </xf>
    <xf numFmtId="0" fontId="9" fillId="0" borderId="145" xfId="1539" applyFont="1" applyBorder="1" applyAlignment="1">
      <alignment horizontal="left" vertical="center"/>
    </xf>
    <xf numFmtId="0" fontId="2" fillId="0" borderId="145" xfId="1539" applyBorder="1" applyAlignment="1">
      <alignment horizontal="left" vertical="center"/>
    </xf>
    <xf numFmtId="0" fontId="2" fillId="0" borderId="144" xfId="1539" applyBorder="1" applyAlignment="1">
      <alignment horizontal="left" vertical="center"/>
    </xf>
    <xf numFmtId="0" fontId="2" fillId="0" borderId="14" xfId="1539" applyBorder="1" applyAlignment="1">
      <alignment horizontal="left" vertical="center"/>
    </xf>
    <xf numFmtId="0" fontId="2" fillId="0" borderId="46" xfId="1539" applyBorder="1" applyAlignment="1">
      <alignment horizontal="left" vertical="center"/>
    </xf>
    <xf numFmtId="0" fontId="2" fillId="0" borderId="22" xfId="1539" applyBorder="1" applyAlignment="1">
      <alignment horizontal="left" vertical="center"/>
    </xf>
    <xf numFmtId="0" fontId="9" fillId="37" borderId="11" xfId="1539" applyFont="1" applyFill="1" applyBorder="1" applyAlignment="1">
      <alignment horizontal="right" vertical="center"/>
    </xf>
    <xf numFmtId="0" fontId="2" fillId="37" borderId="145" xfId="1539" applyFill="1" applyBorder="1" applyAlignment="1">
      <alignment horizontal="right" vertical="center"/>
    </xf>
    <xf numFmtId="0" fontId="2" fillId="37" borderId="14" xfId="1539" applyFill="1" applyBorder="1" applyAlignment="1">
      <alignment horizontal="right" vertical="center"/>
    </xf>
    <xf numFmtId="0" fontId="2" fillId="37" borderId="46" xfId="1539" applyFill="1" applyBorder="1" applyAlignment="1">
      <alignment horizontal="right" vertical="center"/>
    </xf>
    <xf numFmtId="0" fontId="9" fillId="0" borderId="11" xfId="1539" applyFont="1" applyBorder="1" applyAlignment="1">
      <alignment vertical="center" wrapText="1"/>
    </xf>
    <xf numFmtId="0" fontId="9" fillId="0" borderId="145" xfId="1539" applyFont="1" applyBorder="1" applyAlignment="1">
      <alignment vertical="center" wrapText="1"/>
    </xf>
    <xf numFmtId="0" fontId="2" fillId="0" borderId="145" xfId="1539" applyBorder="1" applyAlignment="1">
      <alignment vertical="center" wrapText="1"/>
    </xf>
    <xf numFmtId="0" fontId="2" fillId="0" borderId="144" xfId="1539" applyBorder="1" applyAlignment="1">
      <alignment vertical="center" wrapText="1"/>
    </xf>
    <xf numFmtId="0" fontId="2" fillId="0" borderId="13" xfId="1539" applyBorder="1" applyAlignment="1">
      <alignment vertical="center" wrapText="1"/>
    </xf>
    <xf numFmtId="0" fontId="2" fillId="0" borderId="15" xfId="1539" applyBorder="1" applyAlignment="1">
      <alignment vertical="center" wrapText="1"/>
    </xf>
    <xf numFmtId="0" fontId="2" fillId="0" borderId="14" xfId="1539" applyBorder="1" applyAlignment="1">
      <alignment vertical="center" wrapText="1"/>
    </xf>
    <xf numFmtId="0" fontId="2" fillId="0" borderId="46" xfId="1539" applyBorder="1" applyAlignment="1">
      <alignment vertical="center" wrapText="1"/>
    </xf>
    <xf numFmtId="0" fontId="2" fillId="0" borderId="22" xfId="1539" applyBorder="1" applyAlignment="1">
      <alignment vertical="center" wrapText="1"/>
    </xf>
    <xf numFmtId="0" fontId="9" fillId="39" borderId="11" xfId="1539" applyFont="1" applyFill="1" applyBorder="1" applyAlignment="1">
      <alignment vertical="center" wrapText="1" shrinkToFit="1"/>
    </xf>
    <xf numFmtId="0" fontId="2" fillId="39" borderId="145" xfId="1539" applyFill="1" applyBorder="1" applyAlignment="1">
      <alignment vertical="center" wrapText="1" shrinkToFit="1"/>
    </xf>
    <xf numFmtId="0" fontId="2" fillId="39" borderId="144" xfId="1539" applyFill="1" applyBorder="1" applyAlignment="1">
      <alignment vertical="center" wrapText="1" shrinkToFit="1"/>
    </xf>
    <xf numFmtId="0" fontId="2" fillId="39" borderId="13" xfId="1539" applyFill="1" applyBorder="1" applyAlignment="1">
      <alignment vertical="center" wrapText="1" shrinkToFit="1"/>
    </xf>
    <xf numFmtId="0" fontId="2" fillId="39" borderId="0" xfId="1539" applyFill="1" applyAlignment="1">
      <alignment vertical="center" wrapText="1" shrinkToFit="1"/>
    </xf>
    <xf numFmtId="0" fontId="2" fillId="39" borderId="15" xfId="1539" applyFill="1" applyBorder="1" applyAlignment="1">
      <alignment vertical="center" wrapText="1" shrinkToFit="1"/>
    </xf>
    <xf numFmtId="0" fontId="2" fillId="39" borderId="14" xfId="1539" applyFill="1" applyBorder="1" applyAlignment="1">
      <alignment vertical="center" wrapText="1" shrinkToFit="1"/>
    </xf>
    <xf numFmtId="0" fontId="2" fillId="39" borderId="46" xfId="1539" applyFill="1" applyBorder="1" applyAlignment="1">
      <alignment vertical="center" wrapText="1" shrinkToFit="1"/>
    </xf>
    <xf numFmtId="0" fontId="2" fillId="39" borderId="22" xfId="1539" applyFill="1" applyBorder="1" applyAlignment="1">
      <alignment vertical="center" wrapText="1" shrinkToFit="1"/>
    </xf>
    <xf numFmtId="0" fontId="9" fillId="37" borderId="0" xfId="1539" applyFont="1" applyFill="1" applyAlignment="1">
      <alignment horizontal="right" vertical="center"/>
    </xf>
    <xf numFmtId="0" fontId="74" fillId="0" borderId="13" xfId="1539" applyFont="1" applyBorder="1" applyAlignment="1">
      <alignment horizontal="center" vertical="center"/>
    </xf>
    <xf numFmtId="0" fontId="74" fillId="0" borderId="0" xfId="1539" applyFont="1" applyAlignment="1">
      <alignment horizontal="center" vertical="center"/>
    </xf>
    <xf numFmtId="0" fontId="2" fillId="0" borderId="0" xfId="1539" applyAlignment="1">
      <alignment horizontal="center" vertical="center"/>
    </xf>
    <xf numFmtId="0" fontId="2" fillId="0" borderId="15" xfId="1539" applyBorder="1" applyAlignment="1">
      <alignment horizontal="center" vertical="center"/>
    </xf>
    <xf numFmtId="0" fontId="2" fillId="37" borderId="0" xfId="1539" applyFill="1" applyAlignment="1">
      <alignment horizontal="right" vertical="center"/>
    </xf>
    <xf numFmtId="0" fontId="2" fillId="37" borderId="15" xfId="1539" applyFill="1" applyBorder="1" applyAlignment="1">
      <alignment horizontal="right" vertical="center"/>
    </xf>
    <xf numFmtId="0" fontId="9" fillId="37" borderId="0" xfId="1539" applyFont="1" applyFill="1" applyAlignment="1">
      <alignment vertical="center" wrapText="1" shrinkToFit="1"/>
    </xf>
    <xf numFmtId="0" fontId="9" fillId="0" borderId="0" xfId="0" applyFont="1">
      <alignment vertical="center"/>
    </xf>
    <xf numFmtId="0" fontId="9" fillId="0" borderId="32" xfId="1539" applyFont="1" applyBorder="1" applyAlignment="1">
      <alignment horizontal="left" vertical="center"/>
    </xf>
    <xf numFmtId="0" fontId="9" fillId="0" borderId="32" xfId="1539" applyFont="1" applyBorder="1">
      <alignment vertical="center"/>
    </xf>
    <xf numFmtId="0" fontId="9" fillId="0" borderId="144" xfId="1539" applyFont="1" applyBorder="1">
      <alignment vertical="center"/>
    </xf>
    <xf numFmtId="0" fontId="9" fillId="0" borderId="13" xfId="1539" applyFont="1" applyBorder="1">
      <alignment vertical="center"/>
    </xf>
    <xf numFmtId="0" fontId="9" fillId="0" borderId="15" xfId="1539" applyFont="1" applyBorder="1">
      <alignment vertical="center"/>
    </xf>
    <xf numFmtId="0" fontId="9" fillId="0" borderId="14" xfId="1539" applyFont="1" applyBorder="1">
      <alignment vertical="center"/>
    </xf>
    <xf numFmtId="0" fontId="9" fillId="0" borderId="46" xfId="1539" applyFont="1" applyBorder="1">
      <alignment vertical="center"/>
    </xf>
    <xf numFmtId="0" fontId="9" fillId="0" borderId="22" xfId="1539" applyFont="1" applyBorder="1">
      <alignment vertical="center"/>
    </xf>
    <xf numFmtId="0" fontId="9" fillId="0" borderId="144" xfId="1539" applyFont="1" applyBorder="1" applyAlignment="1">
      <alignment vertical="center" wrapText="1"/>
    </xf>
    <xf numFmtId="0" fontId="9" fillId="0" borderId="14" xfId="1539" applyFont="1" applyBorder="1" applyAlignment="1">
      <alignment vertical="center" wrapText="1"/>
    </xf>
    <xf numFmtId="0" fontId="9" fillId="0" borderId="46" xfId="1539" applyFont="1" applyBorder="1" applyAlignment="1">
      <alignment vertical="center" wrapText="1"/>
    </xf>
    <xf numFmtId="0" fontId="9" fillId="0" borderId="22" xfId="1539" applyFont="1" applyBorder="1" applyAlignment="1">
      <alignment vertical="center" wrapText="1"/>
    </xf>
    <xf numFmtId="0" fontId="9" fillId="37" borderId="145" xfId="1539" applyFont="1" applyFill="1" applyBorder="1" applyAlignment="1">
      <alignment horizontal="right" vertical="center"/>
    </xf>
    <xf numFmtId="0" fontId="9" fillId="37" borderId="14" xfId="1539" applyFont="1" applyFill="1" applyBorder="1" applyAlignment="1">
      <alignment horizontal="right" vertical="center"/>
    </xf>
    <xf numFmtId="0" fontId="9" fillId="37" borderId="46" xfId="1539" applyFont="1" applyFill="1" applyBorder="1" applyAlignment="1">
      <alignment horizontal="right" vertical="center"/>
    </xf>
    <xf numFmtId="0" fontId="9" fillId="40" borderId="145" xfId="1539" applyFont="1" applyFill="1" applyBorder="1" applyAlignment="1">
      <alignment horizontal="center" vertical="center"/>
    </xf>
    <xf numFmtId="0" fontId="9" fillId="37" borderId="15" xfId="1539" applyFont="1" applyFill="1" applyBorder="1" applyAlignment="1">
      <alignment vertical="center" wrapText="1" shrinkToFit="1"/>
    </xf>
    <xf numFmtId="0" fontId="9" fillId="37" borderId="14" xfId="1539" applyFont="1" applyFill="1" applyBorder="1" applyAlignment="1">
      <alignment vertical="center" wrapText="1" shrinkToFit="1"/>
    </xf>
    <xf numFmtId="0" fontId="9" fillId="37" borderId="46" xfId="1539" applyFont="1" applyFill="1" applyBorder="1" applyAlignment="1">
      <alignment vertical="center" wrapText="1" shrinkToFit="1"/>
    </xf>
    <xf numFmtId="0" fontId="9" fillId="37" borderId="22" xfId="1539" applyFont="1" applyFill="1" applyBorder="1" applyAlignment="1">
      <alignment vertical="center" wrapText="1" shrinkToFit="1"/>
    </xf>
    <xf numFmtId="0" fontId="9" fillId="0" borderId="13" xfId="1539" applyFont="1" applyBorder="1" applyAlignment="1">
      <alignment vertical="center" wrapText="1"/>
    </xf>
    <xf numFmtId="0" fontId="9" fillId="0" borderId="0" xfId="1539" applyFont="1" applyAlignment="1">
      <alignment vertical="center" wrapText="1"/>
    </xf>
    <xf numFmtId="0" fontId="9" fillId="0" borderId="15" xfId="1539" applyFont="1" applyBorder="1" applyAlignment="1">
      <alignment vertical="center" wrapText="1"/>
    </xf>
    <xf numFmtId="0" fontId="9" fillId="39" borderId="145" xfId="1539" applyFont="1" applyFill="1" applyBorder="1" applyAlignment="1">
      <alignment vertical="center" wrapText="1" shrinkToFit="1"/>
    </xf>
    <xf numFmtId="0" fontId="9" fillId="39" borderId="144" xfId="1539" applyFont="1" applyFill="1" applyBorder="1" applyAlignment="1">
      <alignment vertical="center" wrapText="1" shrinkToFit="1"/>
    </xf>
    <xf numFmtId="0" fontId="9" fillId="39" borderId="14" xfId="1539" applyFont="1" applyFill="1" applyBorder="1" applyAlignment="1">
      <alignment vertical="center" wrapText="1" shrinkToFit="1"/>
    </xf>
    <xf numFmtId="0" fontId="9" fillId="39" borderId="46" xfId="1539" applyFont="1" applyFill="1" applyBorder="1" applyAlignment="1">
      <alignment vertical="center" wrapText="1" shrinkToFit="1"/>
    </xf>
    <xf numFmtId="0" fontId="9" fillId="39" borderId="22" xfId="1539" applyFont="1" applyFill="1" applyBorder="1" applyAlignment="1">
      <alignment vertical="center" wrapText="1" shrinkToFit="1"/>
    </xf>
    <xf numFmtId="0" fontId="9" fillId="39" borderId="13" xfId="1539" applyFont="1" applyFill="1" applyBorder="1" applyAlignment="1">
      <alignment vertical="center" wrapText="1" shrinkToFit="1"/>
    </xf>
    <xf numFmtId="0" fontId="9" fillId="39" borderId="0" xfId="1539" applyFont="1" applyFill="1" applyAlignment="1">
      <alignment vertical="center" wrapText="1" shrinkToFit="1"/>
    </xf>
    <xf numFmtId="0" fontId="9" fillId="39" borderId="15" xfId="1539" applyFont="1" applyFill="1" applyBorder="1" applyAlignment="1">
      <alignment vertical="center" wrapText="1" shrinkToFit="1"/>
    </xf>
    <xf numFmtId="0" fontId="9" fillId="0" borderId="0" xfId="1539" applyFont="1" applyAlignment="1">
      <alignment horizontal="center" vertical="center"/>
    </xf>
    <xf numFmtId="0" fontId="9" fillId="0" borderId="144" xfId="1539" applyFont="1" applyBorder="1" applyAlignment="1">
      <alignment horizontal="left" vertical="center"/>
    </xf>
    <xf numFmtId="0" fontId="9" fillId="0" borderId="14" xfId="1539" applyFont="1" applyBorder="1" applyAlignment="1">
      <alignment horizontal="left" vertical="center"/>
    </xf>
    <xf numFmtId="0" fontId="9" fillId="0" borderId="46" xfId="1539" applyFont="1" applyBorder="1" applyAlignment="1">
      <alignment horizontal="left" vertical="center"/>
    </xf>
    <xf numFmtId="0" fontId="9" fillId="0" borderId="22" xfId="1539" applyFont="1" applyBorder="1" applyAlignment="1">
      <alignment horizontal="left" vertical="center"/>
    </xf>
    <xf numFmtId="0" fontId="9" fillId="0" borderId="11" xfId="1539" applyFont="1" applyBorder="1" applyAlignment="1">
      <alignment horizontal="right" vertical="center"/>
    </xf>
    <xf numFmtId="0" fontId="9" fillId="0" borderId="145" xfId="1539" applyFont="1" applyBorder="1" applyAlignment="1">
      <alignment horizontal="right" vertical="center"/>
    </xf>
    <xf numFmtId="0" fontId="9" fillId="0" borderId="14" xfId="1539" applyFont="1" applyBorder="1" applyAlignment="1">
      <alignment horizontal="right" vertical="center"/>
    </xf>
    <xf numFmtId="0" fontId="9" fillId="0" borderId="46" xfId="1539" applyFont="1" applyBorder="1" applyAlignment="1">
      <alignment horizontal="right" vertical="center"/>
    </xf>
    <xf numFmtId="49" fontId="9" fillId="37" borderId="145" xfId="1539" applyNumberFormat="1" applyFont="1" applyFill="1" applyBorder="1" applyAlignment="1">
      <alignment horizontal="center" vertical="center"/>
    </xf>
    <xf numFmtId="49" fontId="9" fillId="37" borderId="46" xfId="1539" applyNumberFormat="1" applyFont="1" applyFill="1" applyBorder="1" applyAlignment="1">
      <alignment horizontal="center" vertical="center"/>
    </xf>
    <xf numFmtId="0" fontId="9" fillId="0" borderId="145" xfId="1539" applyFont="1" applyBorder="1" applyAlignment="1">
      <alignment horizontal="center" vertical="center"/>
    </xf>
    <xf numFmtId="0" fontId="9" fillId="0" borderId="46" xfId="1539" applyFont="1" applyBorder="1" applyAlignment="1">
      <alignment horizontal="center" vertical="center"/>
    </xf>
    <xf numFmtId="0" fontId="9" fillId="0" borderId="15" xfId="1539" applyFont="1" applyBorder="1" applyAlignment="1">
      <alignment horizontal="center" vertical="center"/>
    </xf>
    <xf numFmtId="0" fontId="9" fillId="0" borderId="0" xfId="1539" applyFont="1" applyAlignment="1">
      <alignment horizontal="left" vertical="center"/>
    </xf>
    <xf numFmtId="0" fontId="9" fillId="37" borderId="15" xfId="1539" applyFont="1" applyFill="1" applyBorder="1" applyAlignment="1">
      <alignment horizontal="right" vertical="center"/>
    </xf>
    <xf numFmtId="0" fontId="9" fillId="37" borderId="0" xfId="1539" applyFont="1" applyFill="1" applyAlignment="1">
      <alignment vertical="center" shrinkToFit="1"/>
    </xf>
    <xf numFmtId="0" fontId="9" fillId="0" borderId="0" xfId="1539" applyFont="1" applyAlignment="1">
      <alignment horizontal="right" vertical="center"/>
    </xf>
    <xf numFmtId="0" fontId="8" fillId="47" borderId="0" xfId="0" applyFont="1" applyFill="1" applyAlignment="1">
      <alignment horizontal="left" vertical="center"/>
    </xf>
    <xf numFmtId="0" fontId="8" fillId="47" borderId="15" xfId="0" applyFont="1" applyFill="1" applyBorder="1" applyAlignment="1">
      <alignment horizontal="left" vertical="center"/>
    </xf>
    <xf numFmtId="0" fontId="8" fillId="47" borderId="21" xfId="0" applyFont="1" applyFill="1" applyBorder="1" applyAlignment="1">
      <alignment horizontal="left" vertical="center"/>
    </xf>
    <xf numFmtId="0" fontId="8" fillId="47" borderId="52" xfId="0" applyFont="1" applyFill="1" applyBorder="1" applyAlignment="1">
      <alignment horizontal="left" vertical="center"/>
    </xf>
    <xf numFmtId="0" fontId="8" fillId="47" borderId="32" xfId="0" applyFont="1" applyFill="1" applyBorder="1" applyAlignment="1">
      <alignment horizontal="left" vertical="center"/>
    </xf>
    <xf numFmtId="0" fontId="8" fillId="47" borderId="46" xfId="0" applyFont="1" applyFill="1" applyBorder="1" applyAlignment="1">
      <alignment horizontal="left" vertical="center"/>
    </xf>
    <xf numFmtId="0" fontId="8" fillId="47" borderId="11" xfId="0" applyFont="1" applyFill="1" applyBorder="1" applyAlignment="1">
      <alignment horizontal="left" vertical="top" wrapText="1"/>
    </xf>
    <xf numFmtId="0" fontId="8" fillId="47" borderId="145" xfId="0" applyFont="1" applyFill="1" applyBorder="1" applyAlignment="1">
      <alignment horizontal="left" vertical="top" wrapText="1"/>
    </xf>
    <xf numFmtId="0" fontId="8" fillId="47" borderId="144" xfId="0" applyFont="1" applyFill="1" applyBorder="1" applyAlignment="1">
      <alignment horizontal="left" vertical="top" wrapText="1"/>
    </xf>
    <xf numFmtId="0" fontId="8" fillId="47" borderId="13" xfId="0" applyFont="1" applyFill="1" applyBorder="1" applyAlignment="1">
      <alignment horizontal="left" vertical="top" wrapText="1"/>
    </xf>
    <xf numFmtId="0" fontId="8" fillId="47" borderId="15" xfId="0" applyFont="1" applyFill="1" applyBorder="1" applyAlignment="1">
      <alignment horizontal="left" vertical="top" wrapText="1"/>
    </xf>
    <xf numFmtId="0" fontId="8" fillId="47" borderId="14" xfId="0" applyFont="1" applyFill="1" applyBorder="1" applyAlignment="1">
      <alignment horizontal="left" vertical="top" wrapText="1"/>
    </xf>
    <xf numFmtId="0" fontId="8" fillId="47" borderId="46" xfId="0" applyFont="1" applyFill="1" applyBorder="1" applyAlignment="1">
      <alignment horizontal="left" vertical="top" wrapText="1"/>
    </xf>
    <xf numFmtId="0" fontId="8" fillId="47" borderId="22" xfId="0" applyFont="1" applyFill="1" applyBorder="1" applyAlignment="1">
      <alignment horizontal="left" vertical="top" wrapText="1"/>
    </xf>
    <xf numFmtId="0" fontId="8" fillId="47" borderId="145" xfId="0" applyFont="1" applyFill="1" applyBorder="1" applyAlignment="1">
      <alignment horizontal="center" vertical="center"/>
    </xf>
    <xf numFmtId="0" fontId="8" fillId="47" borderId="46" xfId="0" applyFont="1" applyFill="1" applyBorder="1" applyAlignment="1">
      <alignment horizontal="center" vertical="center"/>
    </xf>
    <xf numFmtId="0" fontId="8" fillId="47" borderId="11" xfId="0" applyFont="1" applyFill="1" applyBorder="1" applyAlignment="1">
      <alignment horizontal="right" vertical="center"/>
    </xf>
    <xf numFmtId="0" fontId="8" fillId="47" borderId="145" xfId="0" applyFont="1" applyFill="1" applyBorder="1" applyAlignment="1">
      <alignment horizontal="right" vertical="center"/>
    </xf>
    <xf numFmtId="0" fontId="8" fillId="47" borderId="144" xfId="0" applyFont="1" applyFill="1" applyBorder="1" applyAlignment="1">
      <alignment horizontal="center" vertical="center"/>
    </xf>
    <xf numFmtId="0" fontId="8" fillId="47" borderId="11" xfId="0" applyFont="1" applyFill="1" applyBorder="1" applyAlignment="1">
      <alignment horizontal="left" vertical="center"/>
    </xf>
    <xf numFmtId="0" fontId="8" fillId="47" borderId="145" xfId="0" applyFont="1" applyFill="1" applyBorder="1" applyAlignment="1">
      <alignment horizontal="left" vertical="center"/>
    </xf>
    <xf numFmtId="0" fontId="8" fillId="47" borderId="144" xfId="0" applyFont="1" applyFill="1" applyBorder="1" applyAlignment="1">
      <alignment horizontal="left" vertical="center"/>
    </xf>
    <xf numFmtId="0" fontId="8" fillId="47" borderId="13" xfId="0" applyFont="1" applyFill="1" applyBorder="1" applyAlignment="1">
      <alignment horizontal="left" vertical="center"/>
    </xf>
    <xf numFmtId="0" fontId="8" fillId="47" borderId="145" xfId="0" applyFont="1" applyFill="1" applyBorder="1" applyAlignment="1">
      <alignment horizontal="center" vertical="center"/>
    </xf>
    <xf numFmtId="0" fontId="8" fillId="47" borderId="22" xfId="0" applyFont="1" applyFill="1" applyBorder="1" applyAlignment="1">
      <alignment horizontal="center" vertical="center"/>
    </xf>
    <xf numFmtId="182" fontId="8" fillId="47" borderId="145" xfId="0" applyNumberFormat="1" applyFont="1" applyFill="1" applyBorder="1" applyAlignment="1">
      <alignment horizontal="center" vertical="center"/>
    </xf>
    <xf numFmtId="182" fontId="8" fillId="47" borderId="144" xfId="0" applyNumberFormat="1" applyFont="1" applyFill="1" applyBorder="1" applyAlignment="1">
      <alignment horizontal="center" vertical="center"/>
    </xf>
    <xf numFmtId="182" fontId="8" fillId="47" borderId="46" xfId="0" applyNumberFormat="1" applyFont="1" applyFill="1" applyBorder="1" applyAlignment="1">
      <alignment horizontal="center" vertical="center"/>
    </xf>
    <xf numFmtId="182" fontId="8" fillId="47" borderId="22" xfId="0" applyNumberFormat="1" applyFont="1" applyFill="1" applyBorder="1" applyAlignment="1">
      <alignment horizontal="center" vertical="center"/>
    </xf>
    <xf numFmtId="0" fontId="117"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xf>
    <xf numFmtId="0" fontId="8" fillId="0" borderId="46" xfId="0" applyFont="1" applyFill="1" applyBorder="1">
      <alignment vertical="center"/>
    </xf>
    <xf numFmtId="0" fontId="8" fillId="0" borderId="46" xfId="0" applyFont="1" applyFill="1" applyBorder="1" applyAlignment="1">
      <alignment horizontal="right" vertical="center"/>
    </xf>
    <xf numFmtId="0" fontId="8" fillId="0" borderId="15" xfId="0" applyFont="1" applyFill="1" applyBorder="1">
      <alignment vertical="center"/>
    </xf>
    <xf numFmtId="0" fontId="25" fillId="0" borderId="11" xfId="0" applyFont="1" applyFill="1" applyBorder="1" applyAlignment="1">
      <alignment horizontal="center" vertical="center"/>
    </xf>
    <xf numFmtId="0" fontId="25" fillId="0" borderId="145" xfId="0" applyFont="1" applyFill="1" applyBorder="1" applyAlignment="1">
      <alignment horizontal="center" vertical="center"/>
    </xf>
    <xf numFmtId="0" fontId="25" fillId="0" borderId="144" xfId="0" applyFont="1" applyFill="1" applyBorder="1" applyAlignment="1">
      <alignment horizontal="center" vertical="center"/>
    </xf>
    <xf numFmtId="0" fontId="8" fillId="0" borderId="13" xfId="0" applyFont="1" applyFill="1" applyBorder="1">
      <alignment vertical="center"/>
    </xf>
    <xf numFmtId="0" fontId="8"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1" xfId="0" applyFont="1" applyFill="1" applyBorder="1">
      <alignment vertical="center"/>
    </xf>
    <xf numFmtId="0" fontId="8" fillId="0" borderId="145" xfId="0" applyFont="1" applyFill="1" applyBorder="1" applyAlignment="1">
      <alignment horizontal="center" vertical="center"/>
    </xf>
    <xf numFmtId="0" fontId="8" fillId="0" borderId="145" xfId="0" applyFont="1" applyFill="1" applyBorder="1" applyAlignment="1">
      <alignment horizontal="center" vertical="center" wrapText="1"/>
    </xf>
    <xf numFmtId="0" fontId="8" fillId="0" borderId="144"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144" xfId="0" applyFont="1" applyFill="1" applyBorder="1" applyAlignment="1">
      <alignment horizontal="center" vertical="center"/>
    </xf>
    <xf numFmtId="0" fontId="8" fillId="0" borderId="14" xfId="0" applyFont="1" applyFill="1" applyBorder="1">
      <alignment vertical="center"/>
    </xf>
    <xf numFmtId="0" fontId="8" fillId="0" borderId="46" xfId="0" applyFont="1" applyFill="1" applyBorder="1" applyAlignment="1">
      <alignment horizontal="center" vertical="center"/>
    </xf>
    <xf numFmtId="0" fontId="8" fillId="0" borderId="145" xfId="0" applyFont="1" applyFill="1" applyBorder="1">
      <alignment vertical="center"/>
    </xf>
    <xf numFmtId="0" fontId="8" fillId="0" borderId="144" xfId="0" applyFont="1" applyFill="1" applyBorder="1">
      <alignment vertical="center"/>
    </xf>
    <xf numFmtId="0" fontId="8" fillId="0" borderId="21" xfId="0" applyFont="1" applyFill="1" applyBorder="1">
      <alignment vertical="center"/>
    </xf>
    <xf numFmtId="0" fontId="8" fillId="0" borderId="52"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2" xfId="0" applyFont="1" applyFill="1" applyBorder="1">
      <alignment vertical="center"/>
    </xf>
    <xf numFmtId="0" fontId="8" fillId="0" borderId="32" xfId="0" applyFont="1" applyFill="1" applyBorder="1" applyAlignment="1">
      <alignment horizontal="right" vertical="center"/>
    </xf>
    <xf numFmtId="0" fontId="8" fillId="0" borderId="144" xfId="0" applyFont="1" applyFill="1" applyBorder="1" applyAlignment="1">
      <alignment horizontal="right" vertical="center"/>
    </xf>
    <xf numFmtId="0" fontId="8" fillId="0" borderId="22" xfId="0" applyFont="1" applyFill="1" applyBorder="1" applyAlignment="1">
      <alignment horizontal="right" vertical="center"/>
    </xf>
    <xf numFmtId="0" fontId="8" fillId="0" borderId="52" xfId="0" applyFont="1" applyFill="1" applyBorder="1" applyAlignment="1">
      <alignment horizontal="center" vertical="center" wrapText="1"/>
    </xf>
    <xf numFmtId="0" fontId="8" fillId="0" borderId="52" xfId="0" applyFont="1" applyFill="1" applyBorder="1" applyAlignment="1">
      <alignment horizontal="right" vertical="center"/>
    </xf>
    <xf numFmtId="0" fontId="8" fillId="0" borderId="4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2" xfId="0" applyFont="1" applyFill="1" applyBorder="1">
      <alignment vertical="center"/>
    </xf>
    <xf numFmtId="182" fontId="8" fillId="47" borderId="0" xfId="0" applyNumberFormat="1" applyFont="1" applyFill="1" applyAlignment="1">
      <alignment horizontal="center" vertical="center"/>
    </xf>
    <xf numFmtId="182" fontId="8" fillId="47" borderId="15" xfId="0" applyNumberFormat="1" applyFont="1" applyFill="1" applyBorder="1" applyAlignment="1">
      <alignment horizontal="center" vertical="center"/>
    </xf>
    <xf numFmtId="182" fontId="117" fillId="47" borderId="0" xfId="0" applyNumberFormat="1" applyFont="1" applyFill="1" applyAlignment="1">
      <alignment horizontal="center" vertical="center"/>
    </xf>
    <xf numFmtId="205" fontId="8" fillId="47" borderId="46" xfId="0" applyNumberFormat="1" applyFont="1" applyFill="1" applyBorder="1" applyAlignment="1">
      <alignment horizontal="center" vertical="center"/>
    </xf>
    <xf numFmtId="205" fontId="8" fillId="47" borderId="22" xfId="0" applyNumberFormat="1" applyFont="1" applyFill="1" applyBorder="1" applyAlignment="1">
      <alignment horizontal="center" vertical="center"/>
    </xf>
    <xf numFmtId="205" fontId="117" fillId="47" borderId="52" xfId="0" applyNumberFormat="1" applyFont="1" applyFill="1" applyBorder="1" applyAlignment="1">
      <alignment horizontal="center" vertical="center"/>
    </xf>
    <xf numFmtId="205" fontId="8" fillId="47" borderId="52" xfId="0" applyNumberFormat="1" applyFont="1" applyFill="1" applyBorder="1" applyAlignment="1">
      <alignment horizontal="center" vertical="center"/>
    </xf>
    <xf numFmtId="205" fontId="8" fillId="47" borderId="32" xfId="0" applyNumberFormat="1" applyFont="1" applyFill="1" applyBorder="1" applyAlignment="1">
      <alignment horizontal="center" vertical="center"/>
    </xf>
    <xf numFmtId="205" fontId="8" fillId="47" borderId="21" xfId="0" applyNumberFormat="1" applyFont="1" applyFill="1" applyBorder="1" applyAlignment="1">
      <alignment horizontal="center" vertical="center"/>
    </xf>
    <xf numFmtId="205" fontId="8" fillId="47" borderId="14" xfId="0" applyNumberFormat="1" applyFont="1" applyFill="1" applyBorder="1" applyAlignment="1">
      <alignment horizontal="center" vertical="center"/>
    </xf>
    <xf numFmtId="0" fontId="8" fillId="0" borderId="145" xfId="0" applyFont="1" applyFill="1" applyBorder="1" applyAlignment="1">
      <alignment vertical="center"/>
    </xf>
    <xf numFmtId="0" fontId="8" fillId="0" borderId="14" xfId="0" applyFont="1" applyFill="1" applyBorder="1" applyAlignment="1">
      <alignment vertical="center"/>
    </xf>
    <xf numFmtId="0" fontId="8" fillId="0" borderId="46" xfId="0" applyFont="1" applyFill="1" applyBorder="1" applyAlignment="1">
      <alignment vertical="center"/>
    </xf>
    <xf numFmtId="0" fontId="117" fillId="0" borderId="11" xfId="0" applyFont="1" applyFill="1" applyBorder="1" applyAlignment="1">
      <alignment vertical="center"/>
    </xf>
    <xf numFmtId="0" fontId="8" fillId="0" borderId="145" xfId="0" applyFont="1" applyFill="1" applyBorder="1" applyAlignment="1">
      <alignment horizontal="right" vertical="center"/>
    </xf>
    <xf numFmtId="0" fontId="117" fillId="0" borderId="145" xfId="0" applyFont="1" applyFill="1" applyBorder="1" applyAlignment="1">
      <alignment vertical="center"/>
    </xf>
    <xf numFmtId="0" fontId="117" fillId="0" borderId="145" xfId="0" applyFont="1" applyFill="1" applyBorder="1" applyAlignment="1">
      <alignment horizontal="right" vertical="center"/>
    </xf>
    <xf numFmtId="0" fontId="117" fillId="0" borderId="145" xfId="0" applyFont="1" applyFill="1" applyBorder="1" applyAlignment="1">
      <alignment horizontal="center" vertical="center"/>
    </xf>
    <xf numFmtId="0" fontId="8" fillId="41" borderId="15" xfId="0" applyFont="1" applyFill="1" applyBorder="1" applyAlignment="1">
      <alignment horizontal="center" vertical="center"/>
    </xf>
    <xf numFmtId="0" fontId="8" fillId="41" borderId="15" xfId="0" applyFont="1" applyFill="1" applyBorder="1" applyAlignment="1">
      <alignment horizontal="left" vertical="center"/>
    </xf>
    <xf numFmtId="0" fontId="8" fillId="41" borderId="145" xfId="0" applyFont="1" applyFill="1" applyBorder="1" applyAlignment="1">
      <alignment horizontal="center" vertical="center"/>
    </xf>
    <xf numFmtId="0" fontId="8" fillId="41" borderId="145" xfId="0" applyFont="1" applyFill="1" applyBorder="1" applyAlignment="1">
      <alignment horizontal="center" vertical="center"/>
    </xf>
    <xf numFmtId="182" fontId="8" fillId="41" borderId="145" xfId="0" applyNumberFormat="1" applyFont="1" applyFill="1" applyBorder="1" applyAlignment="1">
      <alignment horizontal="center" vertical="center"/>
    </xf>
    <xf numFmtId="182" fontId="8" fillId="41" borderId="144" xfId="0" applyNumberFormat="1" applyFont="1" applyFill="1" applyBorder="1" applyAlignment="1">
      <alignment horizontal="center" vertical="center"/>
    </xf>
    <xf numFmtId="182" fontId="8" fillId="41" borderId="46" xfId="0" applyNumberFormat="1" applyFont="1" applyFill="1" applyBorder="1" applyAlignment="1">
      <alignment horizontal="center" vertical="center"/>
    </xf>
    <xf numFmtId="182" fontId="8" fillId="41" borderId="22" xfId="0" applyNumberFormat="1" applyFont="1" applyFill="1" applyBorder="1" applyAlignment="1">
      <alignment horizontal="center" vertical="center"/>
    </xf>
    <xf numFmtId="0" fontId="8" fillId="41" borderId="11" xfId="0" applyFont="1" applyFill="1" applyBorder="1" applyAlignment="1">
      <alignment horizontal="left" vertical="top" wrapText="1"/>
    </xf>
    <xf numFmtId="0" fontId="8" fillId="41" borderId="145" xfId="0" applyFont="1" applyFill="1" applyBorder="1" applyAlignment="1">
      <alignment horizontal="left" vertical="top" wrapText="1"/>
    </xf>
    <xf numFmtId="0" fontId="8" fillId="41" borderId="144" xfId="0" applyFont="1" applyFill="1" applyBorder="1" applyAlignment="1">
      <alignment horizontal="left" vertical="top" wrapText="1"/>
    </xf>
    <xf numFmtId="0" fontId="8" fillId="41" borderId="13" xfId="0" applyFont="1" applyFill="1" applyBorder="1" applyAlignment="1">
      <alignment horizontal="left" vertical="top" wrapText="1"/>
    </xf>
    <xf numFmtId="0" fontId="8" fillId="41" borderId="15" xfId="0" applyFont="1" applyFill="1" applyBorder="1" applyAlignment="1">
      <alignment horizontal="left" vertical="top" wrapText="1"/>
    </xf>
    <xf numFmtId="0" fontId="8" fillId="41" borderId="14" xfId="0" applyFont="1" applyFill="1" applyBorder="1" applyAlignment="1">
      <alignment horizontal="left" vertical="top" wrapText="1"/>
    </xf>
    <xf numFmtId="0" fontId="8" fillId="41" borderId="46" xfId="0" applyFont="1" applyFill="1" applyBorder="1" applyAlignment="1">
      <alignment horizontal="left" vertical="top" wrapText="1"/>
    </xf>
    <xf numFmtId="0" fontId="8" fillId="41" borderId="22" xfId="0" applyFont="1" applyFill="1" applyBorder="1" applyAlignment="1">
      <alignment horizontal="left" vertical="top" wrapText="1"/>
    </xf>
    <xf numFmtId="0" fontId="8" fillId="41" borderId="21" xfId="0" applyFont="1" applyFill="1" applyBorder="1" applyAlignment="1">
      <alignment horizontal="left" vertical="center"/>
    </xf>
    <xf numFmtId="0" fontId="8" fillId="41" borderId="52" xfId="0" applyFont="1" applyFill="1" applyBorder="1" applyAlignment="1">
      <alignment horizontal="left" vertical="center"/>
    </xf>
    <xf numFmtId="0" fontId="8" fillId="41" borderId="32" xfId="0" applyFont="1" applyFill="1" applyBorder="1" applyAlignment="1">
      <alignment horizontal="left" vertical="center"/>
    </xf>
    <xf numFmtId="0" fontId="8" fillId="41" borderId="46" xfId="0" applyFont="1" applyFill="1" applyBorder="1" applyAlignment="1">
      <alignment horizontal="left" vertical="center"/>
    </xf>
    <xf numFmtId="0" fontId="8" fillId="41" borderId="22" xfId="0" applyFont="1" applyFill="1" applyBorder="1" applyAlignment="1">
      <alignment horizontal="left" vertical="center"/>
    </xf>
    <xf numFmtId="0" fontId="8" fillId="41" borderId="11" xfId="0" applyFont="1" applyFill="1" applyBorder="1" applyAlignment="1">
      <alignment horizontal="right" vertical="center"/>
    </xf>
    <xf numFmtId="0" fontId="8" fillId="41" borderId="145" xfId="0" applyFont="1" applyFill="1" applyBorder="1" applyAlignment="1">
      <alignment horizontal="right" vertical="center"/>
    </xf>
    <xf numFmtId="0" fontId="8" fillId="41" borderId="46" xfId="0" applyFont="1" applyFill="1" applyBorder="1" applyAlignment="1">
      <alignment horizontal="center" vertical="center"/>
    </xf>
    <xf numFmtId="0" fontId="8" fillId="41" borderId="144" xfId="0" applyFont="1" applyFill="1" applyBorder="1" applyAlignment="1">
      <alignment horizontal="center" vertical="center"/>
    </xf>
    <xf numFmtId="0" fontId="8" fillId="41" borderId="22" xfId="0" applyFont="1" applyFill="1" applyBorder="1" applyAlignment="1">
      <alignment horizontal="center" vertical="center"/>
    </xf>
    <xf numFmtId="205" fontId="117" fillId="47" borderId="46" xfId="0" applyNumberFormat="1" applyFont="1" applyFill="1" applyBorder="1" applyAlignment="1">
      <alignment horizontal="center" vertical="center"/>
    </xf>
    <xf numFmtId="0" fontId="117" fillId="47" borderId="46" xfId="0" applyFont="1" applyFill="1" applyBorder="1" applyAlignment="1">
      <alignment horizontal="center" vertical="center"/>
    </xf>
    <xf numFmtId="0" fontId="8" fillId="41" borderId="52" xfId="0" applyFont="1" applyFill="1" applyBorder="1" applyAlignment="1">
      <alignment horizontal="center" vertical="center"/>
    </xf>
    <xf numFmtId="0" fontId="8" fillId="41" borderId="32" xfId="0" applyFont="1" applyFill="1" applyBorder="1" applyAlignment="1">
      <alignment horizontal="center" vertical="center"/>
    </xf>
    <xf numFmtId="0" fontId="8" fillId="41" borderId="11" xfId="0" applyFont="1" applyFill="1" applyBorder="1" applyAlignment="1">
      <alignment horizontal="left" vertical="center"/>
    </xf>
    <xf numFmtId="0" fontId="8" fillId="41" borderId="145" xfId="0" applyFont="1" applyFill="1" applyBorder="1" applyAlignment="1">
      <alignment horizontal="left" vertical="center"/>
    </xf>
    <xf numFmtId="0" fontId="8" fillId="41" borderId="144" xfId="0" applyFont="1" applyFill="1" applyBorder="1" applyAlignment="1">
      <alignment horizontal="left" vertical="center"/>
    </xf>
    <xf numFmtId="0" fontId="8" fillId="41" borderId="13" xfId="0" applyFont="1" applyFill="1" applyBorder="1" applyAlignment="1">
      <alignment horizontal="left" vertical="center"/>
    </xf>
    <xf numFmtId="0" fontId="8" fillId="41" borderId="21" xfId="0" applyFont="1" applyFill="1" applyBorder="1" applyAlignment="1">
      <alignment horizontal="center" vertical="center"/>
    </xf>
    <xf numFmtId="0" fontId="8" fillId="41" borderId="14" xfId="0" applyFont="1" applyFill="1" applyBorder="1" applyAlignment="1">
      <alignment horizontal="center" vertical="center"/>
    </xf>
    <xf numFmtId="0" fontId="8" fillId="47" borderId="0" xfId="0" applyFont="1" applyFill="1">
      <alignment vertical="center"/>
    </xf>
    <xf numFmtId="0" fontId="8" fillId="0" borderId="0" xfId="0" applyFont="1" applyBorder="1" applyAlignment="1">
      <alignment horizontal="center" vertical="center" wrapText="1"/>
    </xf>
    <xf numFmtId="0" fontId="8" fillId="47" borderId="0" xfId="0" applyFont="1" applyFill="1" applyBorder="1" applyAlignment="1">
      <alignment horizontal="left" vertical="top" wrapText="1"/>
    </xf>
    <xf numFmtId="0" fontId="8" fillId="47" borderId="0" xfId="0" applyFont="1" applyFill="1" applyBorder="1" applyAlignment="1">
      <alignment horizontal="center" vertical="center"/>
    </xf>
    <xf numFmtId="0" fontId="8" fillId="47" borderId="0" xfId="0" applyFont="1" applyFill="1" applyBorder="1" applyAlignment="1">
      <alignment horizontal="left" vertical="center"/>
    </xf>
    <xf numFmtId="0" fontId="8" fillId="0" borderId="0" xfId="0" applyFont="1" applyBorder="1" applyAlignment="1">
      <alignment horizontal="right" vertical="center"/>
    </xf>
    <xf numFmtId="0" fontId="8" fillId="47" borderId="0" xfId="0" applyFont="1" applyFill="1" applyBorder="1" applyAlignment="1">
      <alignment horizontal="center" vertical="center"/>
    </xf>
    <xf numFmtId="0" fontId="8" fillId="0" borderId="0" xfId="0" applyFont="1" applyFill="1" applyBorder="1">
      <alignment vertical="center"/>
    </xf>
    <xf numFmtId="182" fontId="8" fillId="41" borderId="0" xfId="0" applyNumberFormat="1" applyFont="1" applyFill="1" applyBorder="1" applyAlignment="1">
      <alignment horizontal="center" vertical="center"/>
    </xf>
    <xf numFmtId="0" fontId="8" fillId="41"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41"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41" borderId="0" xfId="0" applyFont="1" applyFill="1" applyBorder="1" applyAlignment="1">
      <alignment horizontal="left" vertical="top" wrapText="1"/>
    </xf>
    <xf numFmtId="0" fontId="8" fillId="41" borderId="0" xfId="0" applyFont="1" applyFill="1" applyBorder="1" applyAlignment="1">
      <alignment horizontal="center" vertical="center"/>
    </xf>
  </cellXfs>
  <cellStyles count="1544">
    <cellStyle name="20% - アクセント 1 10" xfId="124" xr:uid="{00000000-0005-0000-0000-000000000000}"/>
    <cellStyle name="20% - アクセント 1 2" xfId="5" xr:uid="{00000000-0005-0000-0000-000001000000}"/>
    <cellStyle name="20% - アクセント 1 2 2" xfId="126" xr:uid="{00000000-0005-0000-0000-000002000000}"/>
    <cellStyle name="20% - アクセント 1 2 2 2" xfId="127" xr:uid="{00000000-0005-0000-0000-000003000000}"/>
    <cellStyle name="20% - アクセント 1 2 2 2 2" xfId="128" xr:uid="{00000000-0005-0000-0000-000004000000}"/>
    <cellStyle name="20% - アクセント 1 2 2 3" xfId="129" xr:uid="{00000000-0005-0000-0000-000005000000}"/>
    <cellStyle name="20% - アクセント 1 2 3" xfId="130" xr:uid="{00000000-0005-0000-0000-000006000000}"/>
    <cellStyle name="20% - アクセント 1 2 3 2" xfId="131" xr:uid="{00000000-0005-0000-0000-000007000000}"/>
    <cellStyle name="20% - アクセント 1 2 3 2 2" xfId="132" xr:uid="{00000000-0005-0000-0000-000008000000}"/>
    <cellStyle name="20% - アクセント 1 2 3 3" xfId="133" xr:uid="{00000000-0005-0000-0000-000009000000}"/>
    <cellStyle name="20% - アクセント 1 2 4" xfId="134" xr:uid="{00000000-0005-0000-0000-00000A000000}"/>
    <cellStyle name="20% - アクセント 1 2 4 2" xfId="135" xr:uid="{00000000-0005-0000-0000-00000B000000}"/>
    <cellStyle name="20% - アクセント 1 2 4 2 2" xfId="136" xr:uid="{00000000-0005-0000-0000-00000C000000}"/>
    <cellStyle name="20% - アクセント 1 2 4 3" xfId="137" xr:uid="{00000000-0005-0000-0000-00000D000000}"/>
    <cellStyle name="20% - アクセント 1 2 5" xfId="138" xr:uid="{00000000-0005-0000-0000-00000E000000}"/>
    <cellStyle name="20% - アクセント 1 2 5 2" xfId="139" xr:uid="{00000000-0005-0000-0000-00000F000000}"/>
    <cellStyle name="20% - アクセント 1 2 6" xfId="140" xr:uid="{00000000-0005-0000-0000-000010000000}"/>
    <cellStyle name="20% - アクセント 1 2 7" xfId="141" xr:uid="{00000000-0005-0000-0000-000011000000}"/>
    <cellStyle name="20% - アクセント 1 2 8" xfId="125" xr:uid="{00000000-0005-0000-0000-000012000000}"/>
    <cellStyle name="20% - アクセント 1 2_Apply_Change" xfId="142" xr:uid="{00000000-0005-0000-0000-000013000000}"/>
    <cellStyle name="20% - アクセント 1 3" xfId="143" xr:uid="{00000000-0005-0000-0000-000014000000}"/>
    <cellStyle name="20% - アクセント 1 3 2" xfId="144" xr:uid="{00000000-0005-0000-0000-000015000000}"/>
    <cellStyle name="20% - アクセント 1 3 2 2" xfId="145" xr:uid="{00000000-0005-0000-0000-000016000000}"/>
    <cellStyle name="20% - アクセント 1 3 3" xfId="146" xr:uid="{00000000-0005-0000-0000-000017000000}"/>
    <cellStyle name="20% - アクセント 1 3 4" xfId="147" xr:uid="{00000000-0005-0000-0000-000018000000}"/>
    <cellStyle name="20% - アクセント 1 3_Data" xfId="148" xr:uid="{00000000-0005-0000-0000-000019000000}"/>
    <cellStyle name="20% - アクセント 1 4" xfId="149" xr:uid="{00000000-0005-0000-0000-00001A000000}"/>
    <cellStyle name="20% - アクセント 1 4 2" xfId="150" xr:uid="{00000000-0005-0000-0000-00001B000000}"/>
    <cellStyle name="20% - アクセント 1 4 2 2" xfId="151" xr:uid="{00000000-0005-0000-0000-00001C000000}"/>
    <cellStyle name="20% - アクセント 1 4 3" xfId="152" xr:uid="{00000000-0005-0000-0000-00001D000000}"/>
    <cellStyle name="20% - アクセント 1 4 4" xfId="153" xr:uid="{00000000-0005-0000-0000-00001E000000}"/>
    <cellStyle name="20% - アクセント 1 4_Data" xfId="154" xr:uid="{00000000-0005-0000-0000-00001F000000}"/>
    <cellStyle name="20% - アクセント 1 5" xfId="155" xr:uid="{00000000-0005-0000-0000-000020000000}"/>
    <cellStyle name="20% - アクセント 1 5 2" xfId="156" xr:uid="{00000000-0005-0000-0000-000021000000}"/>
    <cellStyle name="20% - アクセント 1 5 2 2" xfId="157" xr:uid="{00000000-0005-0000-0000-000022000000}"/>
    <cellStyle name="20% - アクセント 1 5 3" xfId="158" xr:uid="{00000000-0005-0000-0000-000023000000}"/>
    <cellStyle name="20% - アクセント 1 6" xfId="159" xr:uid="{00000000-0005-0000-0000-000024000000}"/>
    <cellStyle name="20% - アクセント 1 6 2" xfId="160" xr:uid="{00000000-0005-0000-0000-000025000000}"/>
    <cellStyle name="20% - アクセント 1 7" xfId="161" xr:uid="{00000000-0005-0000-0000-000026000000}"/>
    <cellStyle name="20% - アクセント 1 7 2" xfId="162" xr:uid="{00000000-0005-0000-0000-000027000000}"/>
    <cellStyle name="20% - アクセント 1 8" xfId="163" xr:uid="{00000000-0005-0000-0000-000028000000}"/>
    <cellStyle name="20% - アクセント 1 8 2" xfId="164" xr:uid="{00000000-0005-0000-0000-000029000000}"/>
    <cellStyle name="20% - アクセント 1 9" xfId="165" xr:uid="{00000000-0005-0000-0000-00002A000000}"/>
    <cellStyle name="20% - アクセント 2 2" xfId="6" xr:uid="{00000000-0005-0000-0000-00002B000000}"/>
    <cellStyle name="20% - アクセント 2 2 2" xfId="166" xr:uid="{00000000-0005-0000-0000-00002C000000}"/>
    <cellStyle name="20% - アクセント 2 2 2 2" xfId="167" xr:uid="{00000000-0005-0000-0000-00002D000000}"/>
    <cellStyle name="20% - アクセント 2 2 2 2 2" xfId="168" xr:uid="{00000000-0005-0000-0000-00002E000000}"/>
    <cellStyle name="20% - アクセント 2 2 2 3" xfId="169" xr:uid="{00000000-0005-0000-0000-00002F000000}"/>
    <cellStyle name="20% - アクセント 2 2 3" xfId="170" xr:uid="{00000000-0005-0000-0000-000030000000}"/>
    <cellStyle name="20% - アクセント 2 2 3 2" xfId="171" xr:uid="{00000000-0005-0000-0000-000031000000}"/>
    <cellStyle name="20% - アクセント 2 2 3 2 2" xfId="172" xr:uid="{00000000-0005-0000-0000-000032000000}"/>
    <cellStyle name="20% - アクセント 2 2 3 3" xfId="173" xr:uid="{00000000-0005-0000-0000-000033000000}"/>
    <cellStyle name="20% - アクセント 2 2 4" xfId="174" xr:uid="{00000000-0005-0000-0000-000034000000}"/>
    <cellStyle name="20% - アクセント 2 2 4 2" xfId="175" xr:uid="{00000000-0005-0000-0000-000035000000}"/>
    <cellStyle name="20% - アクセント 2 2 4 2 2" xfId="176" xr:uid="{00000000-0005-0000-0000-000036000000}"/>
    <cellStyle name="20% - アクセント 2 2 4 3" xfId="177" xr:uid="{00000000-0005-0000-0000-000037000000}"/>
    <cellStyle name="20% - アクセント 2 2 5" xfId="178" xr:uid="{00000000-0005-0000-0000-000038000000}"/>
    <cellStyle name="20% - アクセント 2 2 5 2" xfId="179" xr:uid="{00000000-0005-0000-0000-000039000000}"/>
    <cellStyle name="20% - アクセント 2 2 6" xfId="180" xr:uid="{00000000-0005-0000-0000-00003A000000}"/>
    <cellStyle name="20% - アクセント 2 2 7" xfId="181" xr:uid="{00000000-0005-0000-0000-00003B000000}"/>
    <cellStyle name="20% - アクセント 2 2_Apply_Change" xfId="182" xr:uid="{00000000-0005-0000-0000-00003C000000}"/>
    <cellStyle name="20% - アクセント 2 3" xfId="183" xr:uid="{00000000-0005-0000-0000-00003D000000}"/>
    <cellStyle name="20% - アクセント 2 3 2" xfId="184" xr:uid="{00000000-0005-0000-0000-00003E000000}"/>
    <cellStyle name="20% - アクセント 2 3 2 2" xfId="185" xr:uid="{00000000-0005-0000-0000-00003F000000}"/>
    <cellStyle name="20% - アクセント 2 3 2 2 2" xfId="186" xr:uid="{00000000-0005-0000-0000-000040000000}"/>
    <cellStyle name="20% - アクセント 2 3 2 3" xfId="187" xr:uid="{00000000-0005-0000-0000-000041000000}"/>
    <cellStyle name="20% - アクセント 2 3 2_Data" xfId="188" xr:uid="{00000000-0005-0000-0000-000042000000}"/>
    <cellStyle name="20% - アクセント 2 3 3" xfId="189" xr:uid="{00000000-0005-0000-0000-000043000000}"/>
    <cellStyle name="20% - アクセント 2 3 3 2" xfId="190" xr:uid="{00000000-0005-0000-0000-000044000000}"/>
    <cellStyle name="20% - アクセント 2 3 4" xfId="191" xr:uid="{00000000-0005-0000-0000-000045000000}"/>
    <cellStyle name="20% - アクセント 2 3 4 2" xfId="192" xr:uid="{00000000-0005-0000-0000-000046000000}"/>
    <cellStyle name="20% - アクセント 2 3 5" xfId="193" xr:uid="{00000000-0005-0000-0000-000047000000}"/>
    <cellStyle name="20% - アクセント 2 3 5 2" xfId="194" xr:uid="{00000000-0005-0000-0000-000048000000}"/>
    <cellStyle name="20% - アクセント 2 3 6" xfId="195" xr:uid="{00000000-0005-0000-0000-000049000000}"/>
    <cellStyle name="20% - アクセント 2 3 6 2" xfId="196" xr:uid="{00000000-0005-0000-0000-00004A000000}"/>
    <cellStyle name="20% - アクセント 2 3 7" xfId="197" xr:uid="{00000000-0005-0000-0000-00004B000000}"/>
    <cellStyle name="20% - アクセント 2 3_Data" xfId="198" xr:uid="{00000000-0005-0000-0000-00004C000000}"/>
    <cellStyle name="20% - アクセント 2 4" xfId="199" xr:uid="{00000000-0005-0000-0000-00004D000000}"/>
    <cellStyle name="20% - アクセント 2 4 2" xfId="200" xr:uid="{00000000-0005-0000-0000-00004E000000}"/>
    <cellStyle name="20% - アクセント 2 4 2 2" xfId="201" xr:uid="{00000000-0005-0000-0000-00004F000000}"/>
    <cellStyle name="20% - アクセント 2 4 2 2 2" xfId="202" xr:uid="{00000000-0005-0000-0000-000050000000}"/>
    <cellStyle name="20% - アクセント 2 4 2 3" xfId="203" xr:uid="{00000000-0005-0000-0000-000051000000}"/>
    <cellStyle name="20% - アクセント 2 4 2_Data" xfId="204" xr:uid="{00000000-0005-0000-0000-000052000000}"/>
    <cellStyle name="20% - アクセント 2 4 3" xfId="205" xr:uid="{00000000-0005-0000-0000-000053000000}"/>
    <cellStyle name="20% - アクセント 2 4 3 2" xfId="206" xr:uid="{00000000-0005-0000-0000-000054000000}"/>
    <cellStyle name="20% - アクセント 2 4 4" xfId="207" xr:uid="{00000000-0005-0000-0000-000055000000}"/>
    <cellStyle name="20% - アクセント 2 4 4 2" xfId="208" xr:uid="{00000000-0005-0000-0000-000056000000}"/>
    <cellStyle name="20% - アクセント 2 4 5" xfId="209" xr:uid="{00000000-0005-0000-0000-000057000000}"/>
    <cellStyle name="20% - アクセント 2 4 5 2" xfId="210" xr:uid="{00000000-0005-0000-0000-000058000000}"/>
    <cellStyle name="20% - アクセント 2 4 6" xfId="211" xr:uid="{00000000-0005-0000-0000-000059000000}"/>
    <cellStyle name="20% - アクセント 2 4 6 2" xfId="212" xr:uid="{00000000-0005-0000-0000-00005A000000}"/>
    <cellStyle name="20% - アクセント 2 4 7" xfId="213" xr:uid="{00000000-0005-0000-0000-00005B000000}"/>
    <cellStyle name="20% - アクセント 2 4_Data" xfId="214" xr:uid="{00000000-0005-0000-0000-00005C000000}"/>
    <cellStyle name="20% - アクセント 2 5" xfId="215" xr:uid="{00000000-0005-0000-0000-00005D000000}"/>
    <cellStyle name="20% - アクセント 2 5 2" xfId="216" xr:uid="{00000000-0005-0000-0000-00005E000000}"/>
    <cellStyle name="20% - アクセント 2 5 2 2" xfId="217" xr:uid="{00000000-0005-0000-0000-00005F000000}"/>
    <cellStyle name="20% - アクセント 2 5 3" xfId="218" xr:uid="{00000000-0005-0000-0000-000060000000}"/>
    <cellStyle name="20% - アクセント 2 6" xfId="219" xr:uid="{00000000-0005-0000-0000-000061000000}"/>
    <cellStyle name="20% - アクセント 2 6 2" xfId="220" xr:uid="{00000000-0005-0000-0000-000062000000}"/>
    <cellStyle name="20% - アクセント 2 7" xfId="221" xr:uid="{00000000-0005-0000-0000-000063000000}"/>
    <cellStyle name="20% - アクセント 2 8" xfId="222" xr:uid="{00000000-0005-0000-0000-000064000000}"/>
    <cellStyle name="20% - アクセント 3 10" xfId="223" xr:uid="{00000000-0005-0000-0000-000065000000}"/>
    <cellStyle name="20% - アクセント 3 2" xfId="7" xr:uid="{00000000-0005-0000-0000-000066000000}"/>
    <cellStyle name="20% - アクセント 3 2 10" xfId="225" xr:uid="{00000000-0005-0000-0000-000067000000}"/>
    <cellStyle name="20% - アクセント 3 2 11" xfId="224" xr:uid="{00000000-0005-0000-0000-000068000000}"/>
    <cellStyle name="20% - アクセント 3 2 2" xfId="226" xr:uid="{00000000-0005-0000-0000-000069000000}"/>
    <cellStyle name="20% - アクセント 3 2 2 2" xfId="227" xr:uid="{00000000-0005-0000-0000-00006A000000}"/>
    <cellStyle name="20% - アクセント 3 2 2 2 2" xfId="228" xr:uid="{00000000-0005-0000-0000-00006B000000}"/>
    <cellStyle name="20% - アクセント 3 2 2 3" xfId="229" xr:uid="{00000000-0005-0000-0000-00006C000000}"/>
    <cellStyle name="20% - アクセント 3 2 3" xfId="230" xr:uid="{00000000-0005-0000-0000-00006D000000}"/>
    <cellStyle name="20% - アクセント 3 2 3 2" xfId="231" xr:uid="{00000000-0005-0000-0000-00006E000000}"/>
    <cellStyle name="20% - アクセント 3 2 3 2 2" xfId="232" xr:uid="{00000000-0005-0000-0000-00006F000000}"/>
    <cellStyle name="20% - アクセント 3 2 3 3" xfId="233" xr:uid="{00000000-0005-0000-0000-000070000000}"/>
    <cellStyle name="20% - アクセント 3 2 4" xfId="234" xr:uid="{00000000-0005-0000-0000-000071000000}"/>
    <cellStyle name="20% - アクセント 3 2 4 2" xfId="235" xr:uid="{00000000-0005-0000-0000-000072000000}"/>
    <cellStyle name="20% - アクセント 3 2 4 2 2" xfId="236" xr:uid="{00000000-0005-0000-0000-000073000000}"/>
    <cellStyle name="20% - アクセント 3 2 4 3" xfId="237" xr:uid="{00000000-0005-0000-0000-000074000000}"/>
    <cellStyle name="20% - アクセント 3 2 5" xfId="238" xr:uid="{00000000-0005-0000-0000-000075000000}"/>
    <cellStyle name="20% - アクセント 3 2 5 2" xfId="239" xr:uid="{00000000-0005-0000-0000-000076000000}"/>
    <cellStyle name="20% - アクセント 3 2 5 2 2" xfId="240" xr:uid="{00000000-0005-0000-0000-000077000000}"/>
    <cellStyle name="20% - アクセント 3 2 5 3" xfId="241" xr:uid="{00000000-0005-0000-0000-000078000000}"/>
    <cellStyle name="20% - アクセント 3 2 6" xfId="242" xr:uid="{00000000-0005-0000-0000-000079000000}"/>
    <cellStyle name="20% - アクセント 3 2 6 2" xfId="243" xr:uid="{00000000-0005-0000-0000-00007A000000}"/>
    <cellStyle name="20% - アクセント 3 2 7" xfId="244" xr:uid="{00000000-0005-0000-0000-00007B000000}"/>
    <cellStyle name="20% - アクセント 3 2 7 2" xfId="245" xr:uid="{00000000-0005-0000-0000-00007C000000}"/>
    <cellStyle name="20% - アクセント 3 2 8" xfId="246" xr:uid="{00000000-0005-0000-0000-00007D000000}"/>
    <cellStyle name="20% - アクセント 3 2 8 2" xfId="247" xr:uid="{00000000-0005-0000-0000-00007E000000}"/>
    <cellStyle name="20% - アクセント 3 2 9" xfId="248" xr:uid="{00000000-0005-0000-0000-00007F000000}"/>
    <cellStyle name="20% - アクセント 3 2 9 2" xfId="249" xr:uid="{00000000-0005-0000-0000-000080000000}"/>
    <cellStyle name="20% - アクセント 3 2_Apply_Change" xfId="250" xr:uid="{00000000-0005-0000-0000-000081000000}"/>
    <cellStyle name="20% - アクセント 3 3" xfId="251" xr:uid="{00000000-0005-0000-0000-000082000000}"/>
    <cellStyle name="20% - アクセント 3 3 2" xfId="252" xr:uid="{00000000-0005-0000-0000-000083000000}"/>
    <cellStyle name="20% - アクセント 3 3 2 2" xfId="253" xr:uid="{00000000-0005-0000-0000-000084000000}"/>
    <cellStyle name="20% - アクセント 3 3 2 2 2" xfId="254" xr:uid="{00000000-0005-0000-0000-000085000000}"/>
    <cellStyle name="20% - アクセント 3 3 2 3" xfId="255" xr:uid="{00000000-0005-0000-0000-000086000000}"/>
    <cellStyle name="20% - アクセント 3 3 2_Data" xfId="256" xr:uid="{00000000-0005-0000-0000-000087000000}"/>
    <cellStyle name="20% - アクセント 3 3 3" xfId="257" xr:uid="{00000000-0005-0000-0000-000088000000}"/>
    <cellStyle name="20% - アクセント 3 3 3 2" xfId="258" xr:uid="{00000000-0005-0000-0000-000089000000}"/>
    <cellStyle name="20% - アクセント 3 3 4" xfId="259" xr:uid="{00000000-0005-0000-0000-00008A000000}"/>
    <cellStyle name="20% - アクセント 3 3 4 2" xfId="260" xr:uid="{00000000-0005-0000-0000-00008B000000}"/>
    <cellStyle name="20% - アクセント 3 3 5" xfId="261" xr:uid="{00000000-0005-0000-0000-00008C000000}"/>
    <cellStyle name="20% - アクセント 3 3 5 2" xfId="262" xr:uid="{00000000-0005-0000-0000-00008D000000}"/>
    <cellStyle name="20% - アクセント 3 3 6" xfId="263" xr:uid="{00000000-0005-0000-0000-00008E000000}"/>
    <cellStyle name="20% - アクセント 3 3 6 2" xfId="264" xr:uid="{00000000-0005-0000-0000-00008F000000}"/>
    <cellStyle name="20% - アクセント 3 3 7" xfId="265" xr:uid="{00000000-0005-0000-0000-000090000000}"/>
    <cellStyle name="20% - アクセント 3 3_Data" xfId="266" xr:uid="{00000000-0005-0000-0000-000091000000}"/>
    <cellStyle name="20% - アクセント 3 4" xfId="267" xr:uid="{00000000-0005-0000-0000-000092000000}"/>
    <cellStyle name="20% - アクセント 3 4 2" xfId="268" xr:uid="{00000000-0005-0000-0000-000093000000}"/>
    <cellStyle name="20% - アクセント 3 4 2 2" xfId="269" xr:uid="{00000000-0005-0000-0000-000094000000}"/>
    <cellStyle name="20% - アクセント 3 4 2 2 2" xfId="270" xr:uid="{00000000-0005-0000-0000-000095000000}"/>
    <cellStyle name="20% - アクセント 3 4 2 3" xfId="271" xr:uid="{00000000-0005-0000-0000-000096000000}"/>
    <cellStyle name="20% - アクセント 3 4 2_Data" xfId="272" xr:uid="{00000000-0005-0000-0000-000097000000}"/>
    <cellStyle name="20% - アクセント 3 4 3" xfId="273" xr:uid="{00000000-0005-0000-0000-000098000000}"/>
    <cellStyle name="20% - アクセント 3 4 3 2" xfId="274" xr:uid="{00000000-0005-0000-0000-000099000000}"/>
    <cellStyle name="20% - アクセント 3 4 4" xfId="275" xr:uid="{00000000-0005-0000-0000-00009A000000}"/>
    <cellStyle name="20% - アクセント 3 4 4 2" xfId="276" xr:uid="{00000000-0005-0000-0000-00009B000000}"/>
    <cellStyle name="20% - アクセント 3 4 5" xfId="277" xr:uid="{00000000-0005-0000-0000-00009C000000}"/>
    <cellStyle name="20% - アクセント 3 4 5 2" xfId="278" xr:uid="{00000000-0005-0000-0000-00009D000000}"/>
    <cellStyle name="20% - アクセント 3 4 6" xfId="279" xr:uid="{00000000-0005-0000-0000-00009E000000}"/>
    <cellStyle name="20% - アクセント 3 4 6 2" xfId="280" xr:uid="{00000000-0005-0000-0000-00009F000000}"/>
    <cellStyle name="20% - アクセント 3 4 7" xfId="281" xr:uid="{00000000-0005-0000-0000-0000A0000000}"/>
    <cellStyle name="20% - アクセント 3 4_Data" xfId="282" xr:uid="{00000000-0005-0000-0000-0000A1000000}"/>
    <cellStyle name="20% - アクセント 3 5" xfId="283" xr:uid="{00000000-0005-0000-0000-0000A2000000}"/>
    <cellStyle name="20% - アクセント 3 5 2" xfId="284" xr:uid="{00000000-0005-0000-0000-0000A3000000}"/>
    <cellStyle name="20% - アクセント 3 5 2 2" xfId="285" xr:uid="{00000000-0005-0000-0000-0000A4000000}"/>
    <cellStyle name="20% - アクセント 3 5 3" xfId="286" xr:uid="{00000000-0005-0000-0000-0000A5000000}"/>
    <cellStyle name="20% - アクセント 3 6" xfId="287" xr:uid="{00000000-0005-0000-0000-0000A6000000}"/>
    <cellStyle name="20% - アクセント 3 6 2" xfId="288" xr:uid="{00000000-0005-0000-0000-0000A7000000}"/>
    <cellStyle name="20% - アクセント 3 7" xfId="289" xr:uid="{00000000-0005-0000-0000-0000A8000000}"/>
    <cellStyle name="20% - アクセント 3 7 2" xfId="290" xr:uid="{00000000-0005-0000-0000-0000A9000000}"/>
    <cellStyle name="20% - アクセント 3 8" xfId="291" xr:uid="{00000000-0005-0000-0000-0000AA000000}"/>
    <cellStyle name="20% - アクセント 3 8 2" xfId="292" xr:uid="{00000000-0005-0000-0000-0000AB000000}"/>
    <cellStyle name="20% - アクセント 3 9" xfId="293" xr:uid="{00000000-0005-0000-0000-0000AC000000}"/>
    <cellStyle name="20% - アクセント 4 10" xfId="294" xr:uid="{00000000-0005-0000-0000-0000AD000000}"/>
    <cellStyle name="20% - アクセント 4 2" xfId="8" xr:uid="{00000000-0005-0000-0000-0000AE000000}"/>
    <cellStyle name="20% - アクセント 4 2 10" xfId="296" xr:uid="{00000000-0005-0000-0000-0000AF000000}"/>
    <cellStyle name="20% - アクセント 4 2 11" xfId="295" xr:uid="{00000000-0005-0000-0000-0000B0000000}"/>
    <cellStyle name="20% - アクセント 4 2 2" xfId="297" xr:uid="{00000000-0005-0000-0000-0000B1000000}"/>
    <cellStyle name="20% - アクセント 4 2 2 2" xfId="298" xr:uid="{00000000-0005-0000-0000-0000B2000000}"/>
    <cellStyle name="20% - アクセント 4 2 2 2 2" xfId="299" xr:uid="{00000000-0005-0000-0000-0000B3000000}"/>
    <cellStyle name="20% - アクセント 4 2 2 3" xfId="300" xr:uid="{00000000-0005-0000-0000-0000B4000000}"/>
    <cellStyle name="20% - アクセント 4 2 3" xfId="301" xr:uid="{00000000-0005-0000-0000-0000B5000000}"/>
    <cellStyle name="20% - アクセント 4 2 3 2" xfId="302" xr:uid="{00000000-0005-0000-0000-0000B6000000}"/>
    <cellStyle name="20% - アクセント 4 2 3 2 2" xfId="303" xr:uid="{00000000-0005-0000-0000-0000B7000000}"/>
    <cellStyle name="20% - アクセント 4 2 3 3" xfId="304" xr:uid="{00000000-0005-0000-0000-0000B8000000}"/>
    <cellStyle name="20% - アクセント 4 2 4" xfId="305" xr:uid="{00000000-0005-0000-0000-0000B9000000}"/>
    <cellStyle name="20% - アクセント 4 2 4 2" xfId="306" xr:uid="{00000000-0005-0000-0000-0000BA000000}"/>
    <cellStyle name="20% - アクセント 4 2 4 2 2" xfId="307" xr:uid="{00000000-0005-0000-0000-0000BB000000}"/>
    <cellStyle name="20% - アクセント 4 2 4 3" xfId="308" xr:uid="{00000000-0005-0000-0000-0000BC000000}"/>
    <cellStyle name="20% - アクセント 4 2 5" xfId="309" xr:uid="{00000000-0005-0000-0000-0000BD000000}"/>
    <cellStyle name="20% - アクセント 4 2 5 2" xfId="310" xr:uid="{00000000-0005-0000-0000-0000BE000000}"/>
    <cellStyle name="20% - アクセント 4 2 5 2 2" xfId="311" xr:uid="{00000000-0005-0000-0000-0000BF000000}"/>
    <cellStyle name="20% - アクセント 4 2 5 3" xfId="312" xr:uid="{00000000-0005-0000-0000-0000C0000000}"/>
    <cellStyle name="20% - アクセント 4 2 6" xfId="313" xr:uid="{00000000-0005-0000-0000-0000C1000000}"/>
    <cellStyle name="20% - アクセント 4 2 6 2" xfId="314" xr:uid="{00000000-0005-0000-0000-0000C2000000}"/>
    <cellStyle name="20% - アクセント 4 2 7" xfId="315" xr:uid="{00000000-0005-0000-0000-0000C3000000}"/>
    <cellStyle name="20% - アクセント 4 2 7 2" xfId="316" xr:uid="{00000000-0005-0000-0000-0000C4000000}"/>
    <cellStyle name="20% - アクセント 4 2 8" xfId="317" xr:uid="{00000000-0005-0000-0000-0000C5000000}"/>
    <cellStyle name="20% - アクセント 4 2 8 2" xfId="318" xr:uid="{00000000-0005-0000-0000-0000C6000000}"/>
    <cellStyle name="20% - アクセント 4 2 9" xfId="319" xr:uid="{00000000-0005-0000-0000-0000C7000000}"/>
    <cellStyle name="20% - アクセント 4 2 9 2" xfId="320" xr:uid="{00000000-0005-0000-0000-0000C8000000}"/>
    <cellStyle name="20% - アクセント 4 2_Apply_Change" xfId="321" xr:uid="{00000000-0005-0000-0000-0000C9000000}"/>
    <cellStyle name="20% - アクセント 4 3" xfId="322" xr:uid="{00000000-0005-0000-0000-0000CA000000}"/>
    <cellStyle name="20% - アクセント 4 3 2" xfId="323" xr:uid="{00000000-0005-0000-0000-0000CB000000}"/>
    <cellStyle name="20% - アクセント 4 3 2 2" xfId="324" xr:uid="{00000000-0005-0000-0000-0000CC000000}"/>
    <cellStyle name="20% - アクセント 4 3 2 2 2" xfId="325" xr:uid="{00000000-0005-0000-0000-0000CD000000}"/>
    <cellStyle name="20% - アクセント 4 3 2 3" xfId="326" xr:uid="{00000000-0005-0000-0000-0000CE000000}"/>
    <cellStyle name="20% - アクセント 4 3 2_Data" xfId="327" xr:uid="{00000000-0005-0000-0000-0000CF000000}"/>
    <cellStyle name="20% - アクセント 4 3 3" xfId="328" xr:uid="{00000000-0005-0000-0000-0000D0000000}"/>
    <cellStyle name="20% - アクセント 4 3 3 2" xfId="329" xr:uid="{00000000-0005-0000-0000-0000D1000000}"/>
    <cellStyle name="20% - アクセント 4 3 4" xfId="330" xr:uid="{00000000-0005-0000-0000-0000D2000000}"/>
    <cellStyle name="20% - アクセント 4 3 4 2" xfId="331" xr:uid="{00000000-0005-0000-0000-0000D3000000}"/>
    <cellStyle name="20% - アクセント 4 3 5" xfId="332" xr:uid="{00000000-0005-0000-0000-0000D4000000}"/>
    <cellStyle name="20% - アクセント 4 3 5 2" xfId="333" xr:uid="{00000000-0005-0000-0000-0000D5000000}"/>
    <cellStyle name="20% - アクセント 4 3 6" xfId="334" xr:uid="{00000000-0005-0000-0000-0000D6000000}"/>
    <cellStyle name="20% - アクセント 4 3 6 2" xfId="335" xr:uid="{00000000-0005-0000-0000-0000D7000000}"/>
    <cellStyle name="20% - アクセント 4 3 7" xfId="336" xr:uid="{00000000-0005-0000-0000-0000D8000000}"/>
    <cellStyle name="20% - アクセント 4 3_Data" xfId="337" xr:uid="{00000000-0005-0000-0000-0000D9000000}"/>
    <cellStyle name="20% - アクセント 4 4" xfId="338" xr:uid="{00000000-0005-0000-0000-0000DA000000}"/>
    <cellStyle name="20% - アクセント 4 4 2" xfId="339" xr:uid="{00000000-0005-0000-0000-0000DB000000}"/>
    <cellStyle name="20% - アクセント 4 4 2 2" xfId="340" xr:uid="{00000000-0005-0000-0000-0000DC000000}"/>
    <cellStyle name="20% - アクセント 4 4 2 2 2" xfId="341" xr:uid="{00000000-0005-0000-0000-0000DD000000}"/>
    <cellStyle name="20% - アクセント 4 4 2 3" xfId="342" xr:uid="{00000000-0005-0000-0000-0000DE000000}"/>
    <cellStyle name="20% - アクセント 4 4 2_Data" xfId="343" xr:uid="{00000000-0005-0000-0000-0000DF000000}"/>
    <cellStyle name="20% - アクセント 4 4 3" xfId="344" xr:uid="{00000000-0005-0000-0000-0000E0000000}"/>
    <cellStyle name="20% - アクセント 4 4 3 2" xfId="345" xr:uid="{00000000-0005-0000-0000-0000E1000000}"/>
    <cellStyle name="20% - アクセント 4 4 4" xfId="346" xr:uid="{00000000-0005-0000-0000-0000E2000000}"/>
    <cellStyle name="20% - アクセント 4 4 4 2" xfId="347" xr:uid="{00000000-0005-0000-0000-0000E3000000}"/>
    <cellStyle name="20% - アクセント 4 4 5" xfId="348" xr:uid="{00000000-0005-0000-0000-0000E4000000}"/>
    <cellStyle name="20% - アクセント 4 4 5 2" xfId="349" xr:uid="{00000000-0005-0000-0000-0000E5000000}"/>
    <cellStyle name="20% - アクセント 4 4 6" xfId="350" xr:uid="{00000000-0005-0000-0000-0000E6000000}"/>
    <cellStyle name="20% - アクセント 4 4 6 2" xfId="351" xr:uid="{00000000-0005-0000-0000-0000E7000000}"/>
    <cellStyle name="20% - アクセント 4 4 7" xfId="352" xr:uid="{00000000-0005-0000-0000-0000E8000000}"/>
    <cellStyle name="20% - アクセント 4 4_Data" xfId="353" xr:uid="{00000000-0005-0000-0000-0000E9000000}"/>
    <cellStyle name="20% - アクセント 4 5" xfId="354" xr:uid="{00000000-0005-0000-0000-0000EA000000}"/>
    <cellStyle name="20% - アクセント 4 5 2" xfId="355" xr:uid="{00000000-0005-0000-0000-0000EB000000}"/>
    <cellStyle name="20% - アクセント 4 5 2 2" xfId="356" xr:uid="{00000000-0005-0000-0000-0000EC000000}"/>
    <cellStyle name="20% - アクセント 4 5 3" xfId="357" xr:uid="{00000000-0005-0000-0000-0000ED000000}"/>
    <cellStyle name="20% - アクセント 4 6" xfId="358" xr:uid="{00000000-0005-0000-0000-0000EE000000}"/>
    <cellStyle name="20% - アクセント 4 6 2" xfId="359" xr:uid="{00000000-0005-0000-0000-0000EF000000}"/>
    <cellStyle name="20% - アクセント 4 7" xfId="360" xr:uid="{00000000-0005-0000-0000-0000F0000000}"/>
    <cellStyle name="20% - アクセント 4 7 2" xfId="361" xr:uid="{00000000-0005-0000-0000-0000F1000000}"/>
    <cellStyle name="20% - アクセント 4 8" xfId="362" xr:uid="{00000000-0005-0000-0000-0000F2000000}"/>
    <cellStyle name="20% - アクセント 4 8 2" xfId="363" xr:uid="{00000000-0005-0000-0000-0000F3000000}"/>
    <cellStyle name="20% - アクセント 4 9" xfId="364" xr:uid="{00000000-0005-0000-0000-0000F4000000}"/>
    <cellStyle name="20% - アクセント 5 10" xfId="365" xr:uid="{00000000-0005-0000-0000-0000F5000000}"/>
    <cellStyle name="20% - アクセント 5 2" xfId="9" xr:uid="{00000000-0005-0000-0000-0000F6000000}"/>
    <cellStyle name="20% - アクセント 5 2 10" xfId="367" xr:uid="{00000000-0005-0000-0000-0000F7000000}"/>
    <cellStyle name="20% - アクセント 5 2 11" xfId="366" xr:uid="{00000000-0005-0000-0000-0000F8000000}"/>
    <cellStyle name="20% - アクセント 5 2 2" xfId="368" xr:uid="{00000000-0005-0000-0000-0000F9000000}"/>
    <cellStyle name="20% - アクセント 5 2 2 2" xfId="369" xr:uid="{00000000-0005-0000-0000-0000FA000000}"/>
    <cellStyle name="20% - アクセント 5 2 2 2 2" xfId="370" xr:uid="{00000000-0005-0000-0000-0000FB000000}"/>
    <cellStyle name="20% - アクセント 5 2 2 3" xfId="371" xr:uid="{00000000-0005-0000-0000-0000FC000000}"/>
    <cellStyle name="20% - アクセント 5 2 3" xfId="372" xr:uid="{00000000-0005-0000-0000-0000FD000000}"/>
    <cellStyle name="20% - アクセント 5 2 3 2" xfId="373" xr:uid="{00000000-0005-0000-0000-0000FE000000}"/>
    <cellStyle name="20% - アクセント 5 2 3 2 2" xfId="374" xr:uid="{00000000-0005-0000-0000-0000FF000000}"/>
    <cellStyle name="20% - アクセント 5 2 3 3" xfId="375" xr:uid="{00000000-0005-0000-0000-000000010000}"/>
    <cellStyle name="20% - アクセント 5 2 4" xfId="376" xr:uid="{00000000-0005-0000-0000-000001010000}"/>
    <cellStyle name="20% - アクセント 5 2 4 2" xfId="377" xr:uid="{00000000-0005-0000-0000-000002010000}"/>
    <cellStyle name="20% - アクセント 5 2 4 2 2" xfId="378" xr:uid="{00000000-0005-0000-0000-000003010000}"/>
    <cellStyle name="20% - アクセント 5 2 4 3" xfId="379" xr:uid="{00000000-0005-0000-0000-000004010000}"/>
    <cellStyle name="20% - アクセント 5 2 5" xfId="380" xr:uid="{00000000-0005-0000-0000-000005010000}"/>
    <cellStyle name="20% - アクセント 5 2 5 2" xfId="381" xr:uid="{00000000-0005-0000-0000-000006010000}"/>
    <cellStyle name="20% - アクセント 5 2 5 2 2" xfId="382" xr:uid="{00000000-0005-0000-0000-000007010000}"/>
    <cellStyle name="20% - アクセント 5 2 5 3" xfId="383" xr:uid="{00000000-0005-0000-0000-000008010000}"/>
    <cellStyle name="20% - アクセント 5 2 6" xfId="384" xr:uid="{00000000-0005-0000-0000-000009010000}"/>
    <cellStyle name="20% - アクセント 5 2 6 2" xfId="385" xr:uid="{00000000-0005-0000-0000-00000A010000}"/>
    <cellStyle name="20% - アクセント 5 2 7" xfId="386" xr:uid="{00000000-0005-0000-0000-00000B010000}"/>
    <cellStyle name="20% - アクセント 5 2 7 2" xfId="387" xr:uid="{00000000-0005-0000-0000-00000C010000}"/>
    <cellStyle name="20% - アクセント 5 2 8" xfId="388" xr:uid="{00000000-0005-0000-0000-00000D010000}"/>
    <cellStyle name="20% - アクセント 5 2 8 2" xfId="389" xr:uid="{00000000-0005-0000-0000-00000E010000}"/>
    <cellStyle name="20% - アクセント 5 2 9" xfId="390" xr:uid="{00000000-0005-0000-0000-00000F010000}"/>
    <cellStyle name="20% - アクセント 5 2 9 2" xfId="391" xr:uid="{00000000-0005-0000-0000-000010010000}"/>
    <cellStyle name="20% - アクセント 5 2_Apply_Change" xfId="392" xr:uid="{00000000-0005-0000-0000-000011010000}"/>
    <cellStyle name="20% - アクセント 5 3" xfId="393" xr:uid="{00000000-0005-0000-0000-000012010000}"/>
    <cellStyle name="20% - アクセント 5 3 2" xfId="394" xr:uid="{00000000-0005-0000-0000-000013010000}"/>
    <cellStyle name="20% - アクセント 5 3 2 2" xfId="395" xr:uid="{00000000-0005-0000-0000-000014010000}"/>
    <cellStyle name="20% - アクセント 5 3 2 2 2" xfId="396" xr:uid="{00000000-0005-0000-0000-000015010000}"/>
    <cellStyle name="20% - アクセント 5 3 2 3" xfId="397" xr:uid="{00000000-0005-0000-0000-000016010000}"/>
    <cellStyle name="20% - アクセント 5 3 2_Data" xfId="398" xr:uid="{00000000-0005-0000-0000-000017010000}"/>
    <cellStyle name="20% - アクセント 5 3 3" xfId="399" xr:uid="{00000000-0005-0000-0000-000018010000}"/>
    <cellStyle name="20% - アクセント 5 3 3 2" xfId="400" xr:uid="{00000000-0005-0000-0000-000019010000}"/>
    <cellStyle name="20% - アクセント 5 3 4" xfId="401" xr:uid="{00000000-0005-0000-0000-00001A010000}"/>
    <cellStyle name="20% - アクセント 5 3 4 2" xfId="402" xr:uid="{00000000-0005-0000-0000-00001B010000}"/>
    <cellStyle name="20% - アクセント 5 3 5" xfId="403" xr:uid="{00000000-0005-0000-0000-00001C010000}"/>
    <cellStyle name="20% - アクセント 5 3 5 2" xfId="404" xr:uid="{00000000-0005-0000-0000-00001D010000}"/>
    <cellStyle name="20% - アクセント 5 3 6" xfId="405" xr:uid="{00000000-0005-0000-0000-00001E010000}"/>
    <cellStyle name="20% - アクセント 5 3 6 2" xfId="406" xr:uid="{00000000-0005-0000-0000-00001F010000}"/>
    <cellStyle name="20% - アクセント 5 3 7" xfId="407" xr:uid="{00000000-0005-0000-0000-000020010000}"/>
    <cellStyle name="20% - アクセント 5 3_Data" xfId="408" xr:uid="{00000000-0005-0000-0000-000021010000}"/>
    <cellStyle name="20% - アクセント 5 4" xfId="409" xr:uid="{00000000-0005-0000-0000-000022010000}"/>
    <cellStyle name="20% - アクセント 5 4 2" xfId="410" xr:uid="{00000000-0005-0000-0000-000023010000}"/>
    <cellStyle name="20% - アクセント 5 4 2 2" xfId="411" xr:uid="{00000000-0005-0000-0000-000024010000}"/>
    <cellStyle name="20% - アクセント 5 4 2 2 2" xfId="412" xr:uid="{00000000-0005-0000-0000-000025010000}"/>
    <cellStyle name="20% - アクセント 5 4 2 3" xfId="413" xr:uid="{00000000-0005-0000-0000-000026010000}"/>
    <cellStyle name="20% - アクセント 5 4 2_Data" xfId="414" xr:uid="{00000000-0005-0000-0000-000027010000}"/>
    <cellStyle name="20% - アクセント 5 4 3" xfId="415" xr:uid="{00000000-0005-0000-0000-000028010000}"/>
    <cellStyle name="20% - アクセント 5 4 3 2" xfId="416" xr:uid="{00000000-0005-0000-0000-000029010000}"/>
    <cellStyle name="20% - アクセント 5 4 4" xfId="417" xr:uid="{00000000-0005-0000-0000-00002A010000}"/>
    <cellStyle name="20% - アクセント 5 4 4 2" xfId="418" xr:uid="{00000000-0005-0000-0000-00002B010000}"/>
    <cellStyle name="20% - アクセント 5 4 5" xfId="419" xr:uid="{00000000-0005-0000-0000-00002C010000}"/>
    <cellStyle name="20% - アクセント 5 4 5 2" xfId="420" xr:uid="{00000000-0005-0000-0000-00002D010000}"/>
    <cellStyle name="20% - アクセント 5 4 6" xfId="421" xr:uid="{00000000-0005-0000-0000-00002E010000}"/>
    <cellStyle name="20% - アクセント 5 4 6 2" xfId="422" xr:uid="{00000000-0005-0000-0000-00002F010000}"/>
    <cellStyle name="20% - アクセント 5 4 7" xfId="423" xr:uid="{00000000-0005-0000-0000-000030010000}"/>
    <cellStyle name="20% - アクセント 5 4_Data" xfId="424" xr:uid="{00000000-0005-0000-0000-000031010000}"/>
    <cellStyle name="20% - アクセント 5 5" xfId="425" xr:uid="{00000000-0005-0000-0000-000032010000}"/>
    <cellStyle name="20% - アクセント 5 5 2" xfId="426" xr:uid="{00000000-0005-0000-0000-000033010000}"/>
    <cellStyle name="20% - アクセント 5 5 2 2" xfId="427" xr:uid="{00000000-0005-0000-0000-000034010000}"/>
    <cellStyle name="20% - アクセント 5 5 3" xfId="428" xr:uid="{00000000-0005-0000-0000-000035010000}"/>
    <cellStyle name="20% - アクセント 5 6" xfId="429" xr:uid="{00000000-0005-0000-0000-000036010000}"/>
    <cellStyle name="20% - アクセント 5 6 2" xfId="430" xr:uid="{00000000-0005-0000-0000-000037010000}"/>
    <cellStyle name="20% - アクセント 5 7" xfId="431" xr:uid="{00000000-0005-0000-0000-000038010000}"/>
    <cellStyle name="20% - アクセント 5 7 2" xfId="432" xr:uid="{00000000-0005-0000-0000-000039010000}"/>
    <cellStyle name="20% - アクセント 5 8" xfId="433" xr:uid="{00000000-0005-0000-0000-00003A010000}"/>
    <cellStyle name="20% - アクセント 5 8 2" xfId="434" xr:uid="{00000000-0005-0000-0000-00003B010000}"/>
    <cellStyle name="20% - アクセント 5 9" xfId="435" xr:uid="{00000000-0005-0000-0000-00003C010000}"/>
    <cellStyle name="20% - アクセント 6 10" xfId="436" xr:uid="{00000000-0005-0000-0000-00003D010000}"/>
    <cellStyle name="20% - アクセント 6 2" xfId="10" xr:uid="{00000000-0005-0000-0000-00003E010000}"/>
    <cellStyle name="20% - アクセント 6 2 10" xfId="438" xr:uid="{00000000-0005-0000-0000-00003F010000}"/>
    <cellStyle name="20% - アクセント 6 2 11" xfId="437" xr:uid="{00000000-0005-0000-0000-000040010000}"/>
    <cellStyle name="20% - アクセント 6 2 2" xfId="439" xr:uid="{00000000-0005-0000-0000-000041010000}"/>
    <cellStyle name="20% - アクセント 6 2 2 2" xfId="440" xr:uid="{00000000-0005-0000-0000-000042010000}"/>
    <cellStyle name="20% - アクセント 6 2 2 2 2" xfId="441" xr:uid="{00000000-0005-0000-0000-000043010000}"/>
    <cellStyle name="20% - アクセント 6 2 2 3" xfId="442" xr:uid="{00000000-0005-0000-0000-000044010000}"/>
    <cellStyle name="20% - アクセント 6 2 3" xfId="443" xr:uid="{00000000-0005-0000-0000-000045010000}"/>
    <cellStyle name="20% - アクセント 6 2 3 2" xfId="444" xr:uid="{00000000-0005-0000-0000-000046010000}"/>
    <cellStyle name="20% - アクセント 6 2 3 2 2" xfId="445" xr:uid="{00000000-0005-0000-0000-000047010000}"/>
    <cellStyle name="20% - アクセント 6 2 3 3" xfId="446" xr:uid="{00000000-0005-0000-0000-000048010000}"/>
    <cellStyle name="20% - アクセント 6 2 4" xfId="447" xr:uid="{00000000-0005-0000-0000-000049010000}"/>
    <cellStyle name="20% - アクセント 6 2 4 2" xfId="448" xr:uid="{00000000-0005-0000-0000-00004A010000}"/>
    <cellStyle name="20% - アクセント 6 2 4 2 2" xfId="449" xr:uid="{00000000-0005-0000-0000-00004B010000}"/>
    <cellStyle name="20% - アクセント 6 2 4 3" xfId="450" xr:uid="{00000000-0005-0000-0000-00004C010000}"/>
    <cellStyle name="20% - アクセント 6 2 5" xfId="451" xr:uid="{00000000-0005-0000-0000-00004D010000}"/>
    <cellStyle name="20% - アクセント 6 2 5 2" xfId="452" xr:uid="{00000000-0005-0000-0000-00004E010000}"/>
    <cellStyle name="20% - アクセント 6 2 5 2 2" xfId="453" xr:uid="{00000000-0005-0000-0000-00004F010000}"/>
    <cellStyle name="20% - アクセント 6 2 5 3" xfId="454" xr:uid="{00000000-0005-0000-0000-000050010000}"/>
    <cellStyle name="20% - アクセント 6 2 6" xfId="455" xr:uid="{00000000-0005-0000-0000-000051010000}"/>
    <cellStyle name="20% - アクセント 6 2 6 2" xfId="456" xr:uid="{00000000-0005-0000-0000-000052010000}"/>
    <cellStyle name="20% - アクセント 6 2 7" xfId="457" xr:uid="{00000000-0005-0000-0000-000053010000}"/>
    <cellStyle name="20% - アクセント 6 2 7 2" xfId="458" xr:uid="{00000000-0005-0000-0000-000054010000}"/>
    <cellStyle name="20% - アクセント 6 2 8" xfId="459" xr:uid="{00000000-0005-0000-0000-000055010000}"/>
    <cellStyle name="20% - アクセント 6 2 8 2" xfId="460" xr:uid="{00000000-0005-0000-0000-000056010000}"/>
    <cellStyle name="20% - アクセント 6 2 9" xfId="461" xr:uid="{00000000-0005-0000-0000-000057010000}"/>
    <cellStyle name="20% - アクセント 6 2 9 2" xfId="462" xr:uid="{00000000-0005-0000-0000-000058010000}"/>
    <cellStyle name="20% - アクセント 6 2_Apply_Change" xfId="463" xr:uid="{00000000-0005-0000-0000-000059010000}"/>
    <cellStyle name="20% - アクセント 6 3" xfId="464" xr:uid="{00000000-0005-0000-0000-00005A010000}"/>
    <cellStyle name="20% - アクセント 6 3 2" xfId="465" xr:uid="{00000000-0005-0000-0000-00005B010000}"/>
    <cellStyle name="20% - アクセント 6 3 2 2" xfId="466" xr:uid="{00000000-0005-0000-0000-00005C010000}"/>
    <cellStyle name="20% - アクセント 6 3 2 2 2" xfId="467" xr:uid="{00000000-0005-0000-0000-00005D010000}"/>
    <cellStyle name="20% - アクセント 6 3 2 3" xfId="468" xr:uid="{00000000-0005-0000-0000-00005E010000}"/>
    <cellStyle name="20% - アクセント 6 3 2_Data" xfId="469" xr:uid="{00000000-0005-0000-0000-00005F010000}"/>
    <cellStyle name="20% - アクセント 6 3 3" xfId="470" xr:uid="{00000000-0005-0000-0000-000060010000}"/>
    <cellStyle name="20% - アクセント 6 3 3 2" xfId="471" xr:uid="{00000000-0005-0000-0000-000061010000}"/>
    <cellStyle name="20% - アクセント 6 3 4" xfId="472" xr:uid="{00000000-0005-0000-0000-000062010000}"/>
    <cellStyle name="20% - アクセント 6 3 4 2" xfId="473" xr:uid="{00000000-0005-0000-0000-000063010000}"/>
    <cellStyle name="20% - アクセント 6 3 5" xfId="474" xr:uid="{00000000-0005-0000-0000-000064010000}"/>
    <cellStyle name="20% - アクセント 6 3 5 2" xfId="475" xr:uid="{00000000-0005-0000-0000-000065010000}"/>
    <cellStyle name="20% - アクセント 6 3 6" xfId="476" xr:uid="{00000000-0005-0000-0000-000066010000}"/>
    <cellStyle name="20% - アクセント 6 3 6 2" xfId="477" xr:uid="{00000000-0005-0000-0000-000067010000}"/>
    <cellStyle name="20% - アクセント 6 3 7" xfId="478" xr:uid="{00000000-0005-0000-0000-000068010000}"/>
    <cellStyle name="20% - アクセント 6 3_Data" xfId="479" xr:uid="{00000000-0005-0000-0000-000069010000}"/>
    <cellStyle name="20% - アクセント 6 4" xfId="480" xr:uid="{00000000-0005-0000-0000-00006A010000}"/>
    <cellStyle name="20% - アクセント 6 4 2" xfId="481" xr:uid="{00000000-0005-0000-0000-00006B010000}"/>
    <cellStyle name="20% - アクセント 6 4 2 2" xfId="482" xr:uid="{00000000-0005-0000-0000-00006C010000}"/>
    <cellStyle name="20% - アクセント 6 4 2 2 2" xfId="483" xr:uid="{00000000-0005-0000-0000-00006D010000}"/>
    <cellStyle name="20% - アクセント 6 4 2 3" xfId="484" xr:uid="{00000000-0005-0000-0000-00006E010000}"/>
    <cellStyle name="20% - アクセント 6 4 2_Data" xfId="485" xr:uid="{00000000-0005-0000-0000-00006F010000}"/>
    <cellStyle name="20% - アクセント 6 4 3" xfId="486" xr:uid="{00000000-0005-0000-0000-000070010000}"/>
    <cellStyle name="20% - アクセント 6 4 3 2" xfId="487" xr:uid="{00000000-0005-0000-0000-000071010000}"/>
    <cellStyle name="20% - アクセント 6 4 4" xfId="488" xr:uid="{00000000-0005-0000-0000-000072010000}"/>
    <cellStyle name="20% - アクセント 6 4 4 2" xfId="489" xr:uid="{00000000-0005-0000-0000-000073010000}"/>
    <cellStyle name="20% - アクセント 6 4 5" xfId="490" xr:uid="{00000000-0005-0000-0000-000074010000}"/>
    <cellStyle name="20% - アクセント 6 4 5 2" xfId="491" xr:uid="{00000000-0005-0000-0000-000075010000}"/>
    <cellStyle name="20% - アクセント 6 4 6" xfId="492" xr:uid="{00000000-0005-0000-0000-000076010000}"/>
    <cellStyle name="20% - アクセント 6 4 6 2" xfId="493" xr:uid="{00000000-0005-0000-0000-000077010000}"/>
    <cellStyle name="20% - アクセント 6 4 7" xfId="494" xr:uid="{00000000-0005-0000-0000-000078010000}"/>
    <cellStyle name="20% - アクセント 6 4_Data" xfId="495" xr:uid="{00000000-0005-0000-0000-000079010000}"/>
    <cellStyle name="20% - アクセント 6 5" xfId="496" xr:uid="{00000000-0005-0000-0000-00007A010000}"/>
    <cellStyle name="20% - アクセント 6 5 2" xfId="497" xr:uid="{00000000-0005-0000-0000-00007B010000}"/>
    <cellStyle name="20% - アクセント 6 5 2 2" xfId="498" xr:uid="{00000000-0005-0000-0000-00007C010000}"/>
    <cellStyle name="20% - アクセント 6 5 3" xfId="499" xr:uid="{00000000-0005-0000-0000-00007D010000}"/>
    <cellStyle name="20% - アクセント 6 6" xfId="500" xr:uid="{00000000-0005-0000-0000-00007E010000}"/>
    <cellStyle name="20% - アクセント 6 6 2" xfId="501" xr:uid="{00000000-0005-0000-0000-00007F010000}"/>
    <cellStyle name="20% - アクセント 6 7" xfId="502" xr:uid="{00000000-0005-0000-0000-000080010000}"/>
    <cellStyle name="20% - アクセント 6 7 2" xfId="503" xr:uid="{00000000-0005-0000-0000-000081010000}"/>
    <cellStyle name="20% - アクセント 6 8" xfId="504" xr:uid="{00000000-0005-0000-0000-000082010000}"/>
    <cellStyle name="20% - アクセント 6 8 2" xfId="505" xr:uid="{00000000-0005-0000-0000-000083010000}"/>
    <cellStyle name="20% - アクセント 6 9" xfId="506" xr:uid="{00000000-0005-0000-0000-000084010000}"/>
    <cellStyle name="40% - アクセント 1 10" xfId="507" xr:uid="{00000000-0005-0000-0000-000085010000}"/>
    <cellStyle name="40% - アクセント 1 2" xfId="11" xr:uid="{00000000-0005-0000-0000-000086010000}"/>
    <cellStyle name="40% - アクセント 1 2 10" xfId="509" xr:uid="{00000000-0005-0000-0000-000087010000}"/>
    <cellStyle name="40% - アクセント 1 2 11" xfId="508" xr:uid="{00000000-0005-0000-0000-000088010000}"/>
    <cellStyle name="40% - アクセント 1 2 2" xfId="510" xr:uid="{00000000-0005-0000-0000-000089010000}"/>
    <cellStyle name="40% - アクセント 1 2 2 2" xfId="511" xr:uid="{00000000-0005-0000-0000-00008A010000}"/>
    <cellStyle name="40% - アクセント 1 2 2 2 2" xfId="512" xr:uid="{00000000-0005-0000-0000-00008B010000}"/>
    <cellStyle name="40% - アクセント 1 2 2 3" xfId="513" xr:uid="{00000000-0005-0000-0000-00008C010000}"/>
    <cellStyle name="40% - アクセント 1 2 3" xfId="514" xr:uid="{00000000-0005-0000-0000-00008D010000}"/>
    <cellStyle name="40% - アクセント 1 2 3 2" xfId="515" xr:uid="{00000000-0005-0000-0000-00008E010000}"/>
    <cellStyle name="40% - アクセント 1 2 3 2 2" xfId="516" xr:uid="{00000000-0005-0000-0000-00008F010000}"/>
    <cellStyle name="40% - アクセント 1 2 3 3" xfId="517" xr:uid="{00000000-0005-0000-0000-000090010000}"/>
    <cellStyle name="40% - アクセント 1 2 4" xfId="518" xr:uid="{00000000-0005-0000-0000-000091010000}"/>
    <cellStyle name="40% - アクセント 1 2 4 2" xfId="519" xr:uid="{00000000-0005-0000-0000-000092010000}"/>
    <cellStyle name="40% - アクセント 1 2 4 2 2" xfId="520" xr:uid="{00000000-0005-0000-0000-000093010000}"/>
    <cellStyle name="40% - アクセント 1 2 4 3" xfId="521" xr:uid="{00000000-0005-0000-0000-000094010000}"/>
    <cellStyle name="40% - アクセント 1 2 5" xfId="522" xr:uid="{00000000-0005-0000-0000-000095010000}"/>
    <cellStyle name="40% - アクセント 1 2 5 2" xfId="523" xr:uid="{00000000-0005-0000-0000-000096010000}"/>
    <cellStyle name="40% - アクセント 1 2 5 2 2" xfId="524" xr:uid="{00000000-0005-0000-0000-000097010000}"/>
    <cellStyle name="40% - アクセント 1 2 5 3" xfId="525" xr:uid="{00000000-0005-0000-0000-000098010000}"/>
    <cellStyle name="40% - アクセント 1 2 6" xfId="526" xr:uid="{00000000-0005-0000-0000-000099010000}"/>
    <cellStyle name="40% - アクセント 1 2 6 2" xfId="527" xr:uid="{00000000-0005-0000-0000-00009A010000}"/>
    <cellStyle name="40% - アクセント 1 2 7" xfId="528" xr:uid="{00000000-0005-0000-0000-00009B010000}"/>
    <cellStyle name="40% - アクセント 1 2 7 2" xfId="529" xr:uid="{00000000-0005-0000-0000-00009C010000}"/>
    <cellStyle name="40% - アクセント 1 2 8" xfId="530" xr:uid="{00000000-0005-0000-0000-00009D010000}"/>
    <cellStyle name="40% - アクセント 1 2 8 2" xfId="531" xr:uid="{00000000-0005-0000-0000-00009E010000}"/>
    <cellStyle name="40% - アクセント 1 2 9" xfId="532" xr:uid="{00000000-0005-0000-0000-00009F010000}"/>
    <cellStyle name="40% - アクセント 1 2 9 2" xfId="533" xr:uid="{00000000-0005-0000-0000-0000A0010000}"/>
    <cellStyle name="40% - アクセント 1 2_Apply_Change" xfId="534" xr:uid="{00000000-0005-0000-0000-0000A1010000}"/>
    <cellStyle name="40% - アクセント 1 3" xfId="535" xr:uid="{00000000-0005-0000-0000-0000A2010000}"/>
    <cellStyle name="40% - アクセント 1 3 2" xfId="536" xr:uid="{00000000-0005-0000-0000-0000A3010000}"/>
    <cellStyle name="40% - アクセント 1 3 2 2" xfId="537" xr:uid="{00000000-0005-0000-0000-0000A4010000}"/>
    <cellStyle name="40% - アクセント 1 3 2 2 2" xfId="538" xr:uid="{00000000-0005-0000-0000-0000A5010000}"/>
    <cellStyle name="40% - アクセント 1 3 2 3" xfId="539" xr:uid="{00000000-0005-0000-0000-0000A6010000}"/>
    <cellStyle name="40% - アクセント 1 3 2_Data" xfId="540" xr:uid="{00000000-0005-0000-0000-0000A7010000}"/>
    <cellStyle name="40% - アクセント 1 3 3" xfId="541" xr:uid="{00000000-0005-0000-0000-0000A8010000}"/>
    <cellStyle name="40% - アクセント 1 3 3 2" xfId="542" xr:uid="{00000000-0005-0000-0000-0000A9010000}"/>
    <cellStyle name="40% - アクセント 1 3 4" xfId="543" xr:uid="{00000000-0005-0000-0000-0000AA010000}"/>
    <cellStyle name="40% - アクセント 1 3 4 2" xfId="544" xr:uid="{00000000-0005-0000-0000-0000AB010000}"/>
    <cellStyle name="40% - アクセント 1 3 5" xfId="545" xr:uid="{00000000-0005-0000-0000-0000AC010000}"/>
    <cellStyle name="40% - アクセント 1 3 5 2" xfId="546" xr:uid="{00000000-0005-0000-0000-0000AD010000}"/>
    <cellStyle name="40% - アクセント 1 3 6" xfId="547" xr:uid="{00000000-0005-0000-0000-0000AE010000}"/>
    <cellStyle name="40% - アクセント 1 3 6 2" xfId="548" xr:uid="{00000000-0005-0000-0000-0000AF010000}"/>
    <cellStyle name="40% - アクセント 1 3 7" xfId="549" xr:uid="{00000000-0005-0000-0000-0000B0010000}"/>
    <cellStyle name="40% - アクセント 1 3_Data" xfId="550" xr:uid="{00000000-0005-0000-0000-0000B1010000}"/>
    <cellStyle name="40% - アクセント 1 4" xfId="551" xr:uid="{00000000-0005-0000-0000-0000B2010000}"/>
    <cellStyle name="40% - アクセント 1 4 2" xfId="552" xr:uid="{00000000-0005-0000-0000-0000B3010000}"/>
    <cellStyle name="40% - アクセント 1 4 2 2" xfId="553" xr:uid="{00000000-0005-0000-0000-0000B4010000}"/>
    <cellStyle name="40% - アクセント 1 4 2 2 2" xfId="554" xr:uid="{00000000-0005-0000-0000-0000B5010000}"/>
    <cellStyle name="40% - アクセント 1 4 2 3" xfId="555" xr:uid="{00000000-0005-0000-0000-0000B6010000}"/>
    <cellStyle name="40% - アクセント 1 4 2_Data" xfId="556" xr:uid="{00000000-0005-0000-0000-0000B7010000}"/>
    <cellStyle name="40% - アクセント 1 4 3" xfId="557" xr:uid="{00000000-0005-0000-0000-0000B8010000}"/>
    <cellStyle name="40% - アクセント 1 4 3 2" xfId="558" xr:uid="{00000000-0005-0000-0000-0000B9010000}"/>
    <cellStyle name="40% - アクセント 1 4 4" xfId="559" xr:uid="{00000000-0005-0000-0000-0000BA010000}"/>
    <cellStyle name="40% - アクセント 1 4 4 2" xfId="560" xr:uid="{00000000-0005-0000-0000-0000BB010000}"/>
    <cellStyle name="40% - アクセント 1 4 5" xfId="561" xr:uid="{00000000-0005-0000-0000-0000BC010000}"/>
    <cellStyle name="40% - アクセント 1 4 5 2" xfId="562" xr:uid="{00000000-0005-0000-0000-0000BD010000}"/>
    <cellStyle name="40% - アクセント 1 4 6" xfId="563" xr:uid="{00000000-0005-0000-0000-0000BE010000}"/>
    <cellStyle name="40% - アクセント 1 4 6 2" xfId="564" xr:uid="{00000000-0005-0000-0000-0000BF010000}"/>
    <cellStyle name="40% - アクセント 1 4 7" xfId="565" xr:uid="{00000000-0005-0000-0000-0000C0010000}"/>
    <cellStyle name="40% - アクセント 1 4_Data" xfId="566" xr:uid="{00000000-0005-0000-0000-0000C1010000}"/>
    <cellStyle name="40% - アクセント 1 5" xfId="567" xr:uid="{00000000-0005-0000-0000-0000C2010000}"/>
    <cellStyle name="40% - アクセント 1 5 2" xfId="568" xr:uid="{00000000-0005-0000-0000-0000C3010000}"/>
    <cellStyle name="40% - アクセント 1 5 2 2" xfId="569" xr:uid="{00000000-0005-0000-0000-0000C4010000}"/>
    <cellStyle name="40% - アクセント 1 5 3" xfId="570" xr:uid="{00000000-0005-0000-0000-0000C5010000}"/>
    <cellStyle name="40% - アクセント 1 6" xfId="571" xr:uid="{00000000-0005-0000-0000-0000C6010000}"/>
    <cellStyle name="40% - アクセント 1 6 2" xfId="572" xr:uid="{00000000-0005-0000-0000-0000C7010000}"/>
    <cellStyle name="40% - アクセント 1 7" xfId="573" xr:uid="{00000000-0005-0000-0000-0000C8010000}"/>
    <cellStyle name="40% - アクセント 1 7 2" xfId="574" xr:uid="{00000000-0005-0000-0000-0000C9010000}"/>
    <cellStyle name="40% - アクセント 1 8" xfId="575" xr:uid="{00000000-0005-0000-0000-0000CA010000}"/>
    <cellStyle name="40% - アクセント 1 8 2" xfId="576" xr:uid="{00000000-0005-0000-0000-0000CB010000}"/>
    <cellStyle name="40% - アクセント 1 9" xfId="577" xr:uid="{00000000-0005-0000-0000-0000CC010000}"/>
    <cellStyle name="40% - アクセント 2 10" xfId="578" xr:uid="{00000000-0005-0000-0000-0000CD010000}"/>
    <cellStyle name="40% - アクセント 2 2" xfId="12" xr:uid="{00000000-0005-0000-0000-0000CE010000}"/>
    <cellStyle name="40% - アクセント 2 2 10" xfId="580" xr:uid="{00000000-0005-0000-0000-0000CF010000}"/>
    <cellStyle name="40% - アクセント 2 2 11" xfId="579" xr:uid="{00000000-0005-0000-0000-0000D0010000}"/>
    <cellStyle name="40% - アクセント 2 2 2" xfId="581" xr:uid="{00000000-0005-0000-0000-0000D1010000}"/>
    <cellStyle name="40% - アクセント 2 2 2 2" xfId="582" xr:uid="{00000000-0005-0000-0000-0000D2010000}"/>
    <cellStyle name="40% - アクセント 2 2 2 2 2" xfId="583" xr:uid="{00000000-0005-0000-0000-0000D3010000}"/>
    <cellStyle name="40% - アクセント 2 2 2 3" xfId="584" xr:uid="{00000000-0005-0000-0000-0000D4010000}"/>
    <cellStyle name="40% - アクセント 2 2 3" xfId="585" xr:uid="{00000000-0005-0000-0000-0000D5010000}"/>
    <cellStyle name="40% - アクセント 2 2 3 2" xfId="586" xr:uid="{00000000-0005-0000-0000-0000D6010000}"/>
    <cellStyle name="40% - アクセント 2 2 3 2 2" xfId="587" xr:uid="{00000000-0005-0000-0000-0000D7010000}"/>
    <cellStyle name="40% - アクセント 2 2 3 3" xfId="588" xr:uid="{00000000-0005-0000-0000-0000D8010000}"/>
    <cellStyle name="40% - アクセント 2 2 4" xfId="589" xr:uid="{00000000-0005-0000-0000-0000D9010000}"/>
    <cellStyle name="40% - アクセント 2 2 4 2" xfId="590" xr:uid="{00000000-0005-0000-0000-0000DA010000}"/>
    <cellStyle name="40% - アクセント 2 2 4 2 2" xfId="591" xr:uid="{00000000-0005-0000-0000-0000DB010000}"/>
    <cellStyle name="40% - アクセント 2 2 4 3" xfId="592" xr:uid="{00000000-0005-0000-0000-0000DC010000}"/>
    <cellStyle name="40% - アクセント 2 2 5" xfId="593" xr:uid="{00000000-0005-0000-0000-0000DD010000}"/>
    <cellStyle name="40% - アクセント 2 2 5 2" xfId="594" xr:uid="{00000000-0005-0000-0000-0000DE010000}"/>
    <cellStyle name="40% - アクセント 2 2 5 2 2" xfId="595" xr:uid="{00000000-0005-0000-0000-0000DF010000}"/>
    <cellStyle name="40% - アクセント 2 2 5 3" xfId="596" xr:uid="{00000000-0005-0000-0000-0000E0010000}"/>
    <cellStyle name="40% - アクセント 2 2 6" xfId="597" xr:uid="{00000000-0005-0000-0000-0000E1010000}"/>
    <cellStyle name="40% - アクセント 2 2 6 2" xfId="598" xr:uid="{00000000-0005-0000-0000-0000E2010000}"/>
    <cellStyle name="40% - アクセント 2 2 7" xfId="599" xr:uid="{00000000-0005-0000-0000-0000E3010000}"/>
    <cellStyle name="40% - アクセント 2 2 7 2" xfId="600" xr:uid="{00000000-0005-0000-0000-0000E4010000}"/>
    <cellStyle name="40% - アクセント 2 2 8" xfId="601" xr:uid="{00000000-0005-0000-0000-0000E5010000}"/>
    <cellStyle name="40% - アクセント 2 2 8 2" xfId="602" xr:uid="{00000000-0005-0000-0000-0000E6010000}"/>
    <cellStyle name="40% - アクセント 2 2 9" xfId="603" xr:uid="{00000000-0005-0000-0000-0000E7010000}"/>
    <cellStyle name="40% - アクセント 2 2 9 2" xfId="604" xr:uid="{00000000-0005-0000-0000-0000E8010000}"/>
    <cellStyle name="40% - アクセント 2 2_Apply_Change" xfId="605" xr:uid="{00000000-0005-0000-0000-0000E9010000}"/>
    <cellStyle name="40% - アクセント 2 3" xfId="606" xr:uid="{00000000-0005-0000-0000-0000EA010000}"/>
    <cellStyle name="40% - アクセント 2 3 2" xfId="607" xr:uid="{00000000-0005-0000-0000-0000EB010000}"/>
    <cellStyle name="40% - アクセント 2 3 2 2" xfId="608" xr:uid="{00000000-0005-0000-0000-0000EC010000}"/>
    <cellStyle name="40% - アクセント 2 3 2 2 2" xfId="609" xr:uid="{00000000-0005-0000-0000-0000ED010000}"/>
    <cellStyle name="40% - アクセント 2 3 2 3" xfId="610" xr:uid="{00000000-0005-0000-0000-0000EE010000}"/>
    <cellStyle name="40% - アクセント 2 3 2_Data" xfId="611" xr:uid="{00000000-0005-0000-0000-0000EF010000}"/>
    <cellStyle name="40% - アクセント 2 3 3" xfId="612" xr:uid="{00000000-0005-0000-0000-0000F0010000}"/>
    <cellStyle name="40% - アクセント 2 3 3 2" xfId="613" xr:uid="{00000000-0005-0000-0000-0000F1010000}"/>
    <cellStyle name="40% - アクセント 2 3 4" xfId="614" xr:uid="{00000000-0005-0000-0000-0000F2010000}"/>
    <cellStyle name="40% - アクセント 2 3 4 2" xfId="615" xr:uid="{00000000-0005-0000-0000-0000F3010000}"/>
    <cellStyle name="40% - アクセント 2 3 5" xfId="616" xr:uid="{00000000-0005-0000-0000-0000F4010000}"/>
    <cellStyle name="40% - アクセント 2 3 5 2" xfId="617" xr:uid="{00000000-0005-0000-0000-0000F5010000}"/>
    <cellStyle name="40% - アクセント 2 3 6" xfId="618" xr:uid="{00000000-0005-0000-0000-0000F6010000}"/>
    <cellStyle name="40% - アクセント 2 3 6 2" xfId="619" xr:uid="{00000000-0005-0000-0000-0000F7010000}"/>
    <cellStyle name="40% - アクセント 2 3 7" xfId="620" xr:uid="{00000000-0005-0000-0000-0000F8010000}"/>
    <cellStyle name="40% - アクセント 2 3_Data" xfId="621" xr:uid="{00000000-0005-0000-0000-0000F9010000}"/>
    <cellStyle name="40% - アクセント 2 4" xfId="622" xr:uid="{00000000-0005-0000-0000-0000FA010000}"/>
    <cellStyle name="40% - アクセント 2 4 2" xfId="623" xr:uid="{00000000-0005-0000-0000-0000FB010000}"/>
    <cellStyle name="40% - アクセント 2 4 2 2" xfId="624" xr:uid="{00000000-0005-0000-0000-0000FC010000}"/>
    <cellStyle name="40% - アクセント 2 4 2 2 2" xfId="625" xr:uid="{00000000-0005-0000-0000-0000FD010000}"/>
    <cellStyle name="40% - アクセント 2 4 2 3" xfId="626" xr:uid="{00000000-0005-0000-0000-0000FE010000}"/>
    <cellStyle name="40% - アクセント 2 4 2_Data" xfId="627" xr:uid="{00000000-0005-0000-0000-0000FF010000}"/>
    <cellStyle name="40% - アクセント 2 4 3" xfId="628" xr:uid="{00000000-0005-0000-0000-000000020000}"/>
    <cellStyle name="40% - アクセント 2 4 3 2" xfId="629" xr:uid="{00000000-0005-0000-0000-000001020000}"/>
    <cellStyle name="40% - アクセント 2 4 4" xfId="630" xr:uid="{00000000-0005-0000-0000-000002020000}"/>
    <cellStyle name="40% - アクセント 2 4 4 2" xfId="631" xr:uid="{00000000-0005-0000-0000-000003020000}"/>
    <cellStyle name="40% - アクセント 2 4 5" xfId="632" xr:uid="{00000000-0005-0000-0000-000004020000}"/>
    <cellStyle name="40% - アクセント 2 4 5 2" xfId="633" xr:uid="{00000000-0005-0000-0000-000005020000}"/>
    <cellStyle name="40% - アクセント 2 4 6" xfId="634" xr:uid="{00000000-0005-0000-0000-000006020000}"/>
    <cellStyle name="40% - アクセント 2 4 6 2" xfId="635" xr:uid="{00000000-0005-0000-0000-000007020000}"/>
    <cellStyle name="40% - アクセント 2 4 7" xfId="636" xr:uid="{00000000-0005-0000-0000-000008020000}"/>
    <cellStyle name="40% - アクセント 2 4_Data" xfId="637" xr:uid="{00000000-0005-0000-0000-000009020000}"/>
    <cellStyle name="40% - アクセント 2 5" xfId="638" xr:uid="{00000000-0005-0000-0000-00000A020000}"/>
    <cellStyle name="40% - アクセント 2 5 2" xfId="639" xr:uid="{00000000-0005-0000-0000-00000B020000}"/>
    <cellStyle name="40% - アクセント 2 5 2 2" xfId="640" xr:uid="{00000000-0005-0000-0000-00000C020000}"/>
    <cellStyle name="40% - アクセント 2 5 3" xfId="641" xr:uid="{00000000-0005-0000-0000-00000D020000}"/>
    <cellStyle name="40% - アクセント 2 6" xfId="642" xr:uid="{00000000-0005-0000-0000-00000E020000}"/>
    <cellStyle name="40% - アクセント 2 6 2" xfId="643" xr:uid="{00000000-0005-0000-0000-00000F020000}"/>
    <cellStyle name="40% - アクセント 2 7" xfId="644" xr:uid="{00000000-0005-0000-0000-000010020000}"/>
    <cellStyle name="40% - アクセント 2 7 2" xfId="645" xr:uid="{00000000-0005-0000-0000-000011020000}"/>
    <cellStyle name="40% - アクセント 2 8" xfId="646" xr:uid="{00000000-0005-0000-0000-000012020000}"/>
    <cellStyle name="40% - アクセント 2 8 2" xfId="647" xr:uid="{00000000-0005-0000-0000-000013020000}"/>
    <cellStyle name="40% - アクセント 2 9" xfId="648" xr:uid="{00000000-0005-0000-0000-000014020000}"/>
    <cellStyle name="40% - アクセント 3 10" xfId="649" xr:uid="{00000000-0005-0000-0000-000015020000}"/>
    <cellStyle name="40% - アクセント 3 2" xfId="13" xr:uid="{00000000-0005-0000-0000-000016020000}"/>
    <cellStyle name="40% - アクセント 3 2 10" xfId="651" xr:uid="{00000000-0005-0000-0000-000017020000}"/>
    <cellStyle name="40% - アクセント 3 2 11" xfId="650" xr:uid="{00000000-0005-0000-0000-000018020000}"/>
    <cellStyle name="40% - アクセント 3 2 2" xfId="652" xr:uid="{00000000-0005-0000-0000-000019020000}"/>
    <cellStyle name="40% - アクセント 3 2 2 2" xfId="653" xr:uid="{00000000-0005-0000-0000-00001A020000}"/>
    <cellStyle name="40% - アクセント 3 2 2 2 2" xfId="654" xr:uid="{00000000-0005-0000-0000-00001B020000}"/>
    <cellStyle name="40% - アクセント 3 2 2 3" xfId="655" xr:uid="{00000000-0005-0000-0000-00001C020000}"/>
    <cellStyle name="40% - アクセント 3 2 3" xfId="656" xr:uid="{00000000-0005-0000-0000-00001D020000}"/>
    <cellStyle name="40% - アクセント 3 2 3 2" xfId="657" xr:uid="{00000000-0005-0000-0000-00001E020000}"/>
    <cellStyle name="40% - アクセント 3 2 3 2 2" xfId="658" xr:uid="{00000000-0005-0000-0000-00001F020000}"/>
    <cellStyle name="40% - アクセント 3 2 3 3" xfId="659" xr:uid="{00000000-0005-0000-0000-000020020000}"/>
    <cellStyle name="40% - アクセント 3 2 4" xfId="660" xr:uid="{00000000-0005-0000-0000-000021020000}"/>
    <cellStyle name="40% - アクセント 3 2 4 2" xfId="661" xr:uid="{00000000-0005-0000-0000-000022020000}"/>
    <cellStyle name="40% - アクセント 3 2 4 2 2" xfId="662" xr:uid="{00000000-0005-0000-0000-000023020000}"/>
    <cellStyle name="40% - アクセント 3 2 4 3" xfId="663" xr:uid="{00000000-0005-0000-0000-000024020000}"/>
    <cellStyle name="40% - アクセント 3 2 5" xfId="664" xr:uid="{00000000-0005-0000-0000-000025020000}"/>
    <cellStyle name="40% - アクセント 3 2 5 2" xfId="665" xr:uid="{00000000-0005-0000-0000-000026020000}"/>
    <cellStyle name="40% - アクセント 3 2 5 2 2" xfId="666" xr:uid="{00000000-0005-0000-0000-000027020000}"/>
    <cellStyle name="40% - アクセント 3 2 5 3" xfId="667" xr:uid="{00000000-0005-0000-0000-000028020000}"/>
    <cellStyle name="40% - アクセント 3 2 6" xfId="668" xr:uid="{00000000-0005-0000-0000-000029020000}"/>
    <cellStyle name="40% - アクセント 3 2 6 2" xfId="669" xr:uid="{00000000-0005-0000-0000-00002A020000}"/>
    <cellStyle name="40% - アクセント 3 2 7" xfId="670" xr:uid="{00000000-0005-0000-0000-00002B020000}"/>
    <cellStyle name="40% - アクセント 3 2 7 2" xfId="671" xr:uid="{00000000-0005-0000-0000-00002C020000}"/>
    <cellStyle name="40% - アクセント 3 2 8" xfId="672" xr:uid="{00000000-0005-0000-0000-00002D020000}"/>
    <cellStyle name="40% - アクセント 3 2 8 2" xfId="673" xr:uid="{00000000-0005-0000-0000-00002E020000}"/>
    <cellStyle name="40% - アクセント 3 2 9" xfId="674" xr:uid="{00000000-0005-0000-0000-00002F020000}"/>
    <cellStyle name="40% - アクセント 3 2 9 2" xfId="675" xr:uid="{00000000-0005-0000-0000-000030020000}"/>
    <cellStyle name="40% - アクセント 3 2_Apply_Change" xfId="676" xr:uid="{00000000-0005-0000-0000-000031020000}"/>
    <cellStyle name="40% - アクセント 3 3" xfId="677" xr:uid="{00000000-0005-0000-0000-000032020000}"/>
    <cellStyle name="40% - アクセント 3 3 2" xfId="678" xr:uid="{00000000-0005-0000-0000-000033020000}"/>
    <cellStyle name="40% - アクセント 3 3 2 2" xfId="679" xr:uid="{00000000-0005-0000-0000-000034020000}"/>
    <cellStyle name="40% - アクセント 3 3 2 2 2" xfId="680" xr:uid="{00000000-0005-0000-0000-000035020000}"/>
    <cellStyle name="40% - アクセント 3 3 2 3" xfId="681" xr:uid="{00000000-0005-0000-0000-000036020000}"/>
    <cellStyle name="40% - アクセント 3 3 2_Data" xfId="682" xr:uid="{00000000-0005-0000-0000-000037020000}"/>
    <cellStyle name="40% - アクセント 3 3 3" xfId="683" xr:uid="{00000000-0005-0000-0000-000038020000}"/>
    <cellStyle name="40% - アクセント 3 3 3 2" xfId="684" xr:uid="{00000000-0005-0000-0000-000039020000}"/>
    <cellStyle name="40% - アクセント 3 3 4" xfId="685" xr:uid="{00000000-0005-0000-0000-00003A020000}"/>
    <cellStyle name="40% - アクセント 3 3 4 2" xfId="686" xr:uid="{00000000-0005-0000-0000-00003B020000}"/>
    <cellStyle name="40% - アクセント 3 3 5" xfId="687" xr:uid="{00000000-0005-0000-0000-00003C020000}"/>
    <cellStyle name="40% - アクセント 3 3 5 2" xfId="688" xr:uid="{00000000-0005-0000-0000-00003D020000}"/>
    <cellStyle name="40% - アクセント 3 3 6" xfId="689" xr:uid="{00000000-0005-0000-0000-00003E020000}"/>
    <cellStyle name="40% - アクセント 3 3 6 2" xfId="690" xr:uid="{00000000-0005-0000-0000-00003F020000}"/>
    <cellStyle name="40% - アクセント 3 3 7" xfId="691" xr:uid="{00000000-0005-0000-0000-000040020000}"/>
    <cellStyle name="40% - アクセント 3 3_Data" xfId="692" xr:uid="{00000000-0005-0000-0000-000041020000}"/>
    <cellStyle name="40% - アクセント 3 4" xfId="693" xr:uid="{00000000-0005-0000-0000-000042020000}"/>
    <cellStyle name="40% - アクセント 3 4 2" xfId="694" xr:uid="{00000000-0005-0000-0000-000043020000}"/>
    <cellStyle name="40% - アクセント 3 4 2 2" xfId="695" xr:uid="{00000000-0005-0000-0000-000044020000}"/>
    <cellStyle name="40% - アクセント 3 4 2 2 2" xfId="696" xr:uid="{00000000-0005-0000-0000-000045020000}"/>
    <cellStyle name="40% - アクセント 3 4 2 3" xfId="697" xr:uid="{00000000-0005-0000-0000-000046020000}"/>
    <cellStyle name="40% - アクセント 3 4 2_Data" xfId="698" xr:uid="{00000000-0005-0000-0000-000047020000}"/>
    <cellStyle name="40% - アクセント 3 4 3" xfId="699" xr:uid="{00000000-0005-0000-0000-000048020000}"/>
    <cellStyle name="40% - アクセント 3 4 3 2" xfId="700" xr:uid="{00000000-0005-0000-0000-000049020000}"/>
    <cellStyle name="40% - アクセント 3 4 4" xfId="701" xr:uid="{00000000-0005-0000-0000-00004A020000}"/>
    <cellStyle name="40% - アクセント 3 4 4 2" xfId="702" xr:uid="{00000000-0005-0000-0000-00004B020000}"/>
    <cellStyle name="40% - アクセント 3 4 5" xfId="703" xr:uid="{00000000-0005-0000-0000-00004C020000}"/>
    <cellStyle name="40% - アクセント 3 4 5 2" xfId="704" xr:uid="{00000000-0005-0000-0000-00004D020000}"/>
    <cellStyle name="40% - アクセント 3 4 6" xfId="705" xr:uid="{00000000-0005-0000-0000-00004E020000}"/>
    <cellStyle name="40% - アクセント 3 4 6 2" xfId="706" xr:uid="{00000000-0005-0000-0000-00004F020000}"/>
    <cellStyle name="40% - アクセント 3 4 7" xfId="707" xr:uid="{00000000-0005-0000-0000-000050020000}"/>
    <cellStyle name="40% - アクセント 3 4_Data" xfId="708" xr:uid="{00000000-0005-0000-0000-000051020000}"/>
    <cellStyle name="40% - アクセント 3 5" xfId="709" xr:uid="{00000000-0005-0000-0000-000052020000}"/>
    <cellStyle name="40% - アクセント 3 5 2" xfId="710" xr:uid="{00000000-0005-0000-0000-000053020000}"/>
    <cellStyle name="40% - アクセント 3 5 2 2" xfId="711" xr:uid="{00000000-0005-0000-0000-000054020000}"/>
    <cellStyle name="40% - アクセント 3 5 3" xfId="712" xr:uid="{00000000-0005-0000-0000-000055020000}"/>
    <cellStyle name="40% - アクセント 3 6" xfId="713" xr:uid="{00000000-0005-0000-0000-000056020000}"/>
    <cellStyle name="40% - アクセント 3 6 2" xfId="714" xr:uid="{00000000-0005-0000-0000-000057020000}"/>
    <cellStyle name="40% - アクセント 3 7" xfId="715" xr:uid="{00000000-0005-0000-0000-000058020000}"/>
    <cellStyle name="40% - アクセント 3 7 2" xfId="716" xr:uid="{00000000-0005-0000-0000-000059020000}"/>
    <cellStyle name="40% - アクセント 3 8" xfId="717" xr:uid="{00000000-0005-0000-0000-00005A020000}"/>
    <cellStyle name="40% - アクセント 3 8 2" xfId="718" xr:uid="{00000000-0005-0000-0000-00005B020000}"/>
    <cellStyle name="40% - アクセント 3 9" xfId="719" xr:uid="{00000000-0005-0000-0000-00005C020000}"/>
    <cellStyle name="40% - アクセント 4 10" xfId="720" xr:uid="{00000000-0005-0000-0000-00005D020000}"/>
    <cellStyle name="40% - アクセント 4 2" xfId="14" xr:uid="{00000000-0005-0000-0000-00005E020000}"/>
    <cellStyle name="40% - アクセント 4 2 10" xfId="722" xr:uid="{00000000-0005-0000-0000-00005F020000}"/>
    <cellStyle name="40% - アクセント 4 2 11" xfId="721" xr:uid="{00000000-0005-0000-0000-000060020000}"/>
    <cellStyle name="40% - アクセント 4 2 2" xfId="723" xr:uid="{00000000-0005-0000-0000-000061020000}"/>
    <cellStyle name="40% - アクセント 4 2 2 2" xfId="724" xr:uid="{00000000-0005-0000-0000-000062020000}"/>
    <cellStyle name="40% - アクセント 4 2 2 2 2" xfId="725" xr:uid="{00000000-0005-0000-0000-000063020000}"/>
    <cellStyle name="40% - アクセント 4 2 2 3" xfId="726" xr:uid="{00000000-0005-0000-0000-000064020000}"/>
    <cellStyle name="40% - アクセント 4 2 3" xfId="727" xr:uid="{00000000-0005-0000-0000-000065020000}"/>
    <cellStyle name="40% - アクセント 4 2 3 2" xfId="728" xr:uid="{00000000-0005-0000-0000-000066020000}"/>
    <cellStyle name="40% - アクセント 4 2 3 2 2" xfId="729" xr:uid="{00000000-0005-0000-0000-000067020000}"/>
    <cellStyle name="40% - アクセント 4 2 3 3" xfId="730" xr:uid="{00000000-0005-0000-0000-000068020000}"/>
    <cellStyle name="40% - アクセント 4 2 4" xfId="731" xr:uid="{00000000-0005-0000-0000-000069020000}"/>
    <cellStyle name="40% - アクセント 4 2 4 2" xfId="732" xr:uid="{00000000-0005-0000-0000-00006A020000}"/>
    <cellStyle name="40% - アクセント 4 2 4 2 2" xfId="733" xr:uid="{00000000-0005-0000-0000-00006B020000}"/>
    <cellStyle name="40% - アクセント 4 2 4 3" xfId="734" xr:uid="{00000000-0005-0000-0000-00006C020000}"/>
    <cellStyle name="40% - アクセント 4 2 5" xfId="735" xr:uid="{00000000-0005-0000-0000-00006D020000}"/>
    <cellStyle name="40% - アクセント 4 2 5 2" xfId="736" xr:uid="{00000000-0005-0000-0000-00006E020000}"/>
    <cellStyle name="40% - アクセント 4 2 5 2 2" xfId="737" xr:uid="{00000000-0005-0000-0000-00006F020000}"/>
    <cellStyle name="40% - アクセント 4 2 5 3" xfId="738" xr:uid="{00000000-0005-0000-0000-000070020000}"/>
    <cellStyle name="40% - アクセント 4 2 6" xfId="739" xr:uid="{00000000-0005-0000-0000-000071020000}"/>
    <cellStyle name="40% - アクセント 4 2 6 2" xfId="740" xr:uid="{00000000-0005-0000-0000-000072020000}"/>
    <cellStyle name="40% - アクセント 4 2 7" xfId="741" xr:uid="{00000000-0005-0000-0000-000073020000}"/>
    <cellStyle name="40% - アクセント 4 2 7 2" xfId="742" xr:uid="{00000000-0005-0000-0000-000074020000}"/>
    <cellStyle name="40% - アクセント 4 2 8" xfId="743" xr:uid="{00000000-0005-0000-0000-000075020000}"/>
    <cellStyle name="40% - アクセント 4 2 8 2" xfId="744" xr:uid="{00000000-0005-0000-0000-000076020000}"/>
    <cellStyle name="40% - アクセント 4 2 9" xfId="745" xr:uid="{00000000-0005-0000-0000-000077020000}"/>
    <cellStyle name="40% - アクセント 4 2 9 2" xfId="746" xr:uid="{00000000-0005-0000-0000-000078020000}"/>
    <cellStyle name="40% - アクセント 4 2_Apply_Change" xfId="747" xr:uid="{00000000-0005-0000-0000-000079020000}"/>
    <cellStyle name="40% - アクセント 4 3" xfId="748" xr:uid="{00000000-0005-0000-0000-00007A020000}"/>
    <cellStyle name="40% - アクセント 4 3 2" xfId="749" xr:uid="{00000000-0005-0000-0000-00007B020000}"/>
    <cellStyle name="40% - アクセント 4 3 2 2" xfId="750" xr:uid="{00000000-0005-0000-0000-00007C020000}"/>
    <cellStyle name="40% - アクセント 4 3 2 2 2" xfId="751" xr:uid="{00000000-0005-0000-0000-00007D020000}"/>
    <cellStyle name="40% - アクセント 4 3 2 3" xfId="752" xr:uid="{00000000-0005-0000-0000-00007E020000}"/>
    <cellStyle name="40% - アクセント 4 3 2_Data" xfId="753" xr:uid="{00000000-0005-0000-0000-00007F020000}"/>
    <cellStyle name="40% - アクセント 4 3 3" xfId="754" xr:uid="{00000000-0005-0000-0000-000080020000}"/>
    <cellStyle name="40% - アクセント 4 3 3 2" xfId="755" xr:uid="{00000000-0005-0000-0000-000081020000}"/>
    <cellStyle name="40% - アクセント 4 3 4" xfId="756" xr:uid="{00000000-0005-0000-0000-000082020000}"/>
    <cellStyle name="40% - アクセント 4 3 4 2" xfId="757" xr:uid="{00000000-0005-0000-0000-000083020000}"/>
    <cellStyle name="40% - アクセント 4 3 5" xfId="758" xr:uid="{00000000-0005-0000-0000-000084020000}"/>
    <cellStyle name="40% - アクセント 4 3 5 2" xfId="759" xr:uid="{00000000-0005-0000-0000-000085020000}"/>
    <cellStyle name="40% - アクセント 4 3 6" xfId="760" xr:uid="{00000000-0005-0000-0000-000086020000}"/>
    <cellStyle name="40% - アクセント 4 3 6 2" xfId="761" xr:uid="{00000000-0005-0000-0000-000087020000}"/>
    <cellStyle name="40% - アクセント 4 3 7" xfId="762" xr:uid="{00000000-0005-0000-0000-000088020000}"/>
    <cellStyle name="40% - アクセント 4 3_Data" xfId="763" xr:uid="{00000000-0005-0000-0000-000089020000}"/>
    <cellStyle name="40% - アクセント 4 4" xfId="764" xr:uid="{00000000-0005-0000-0000-00008A020000}"/>
    <cellStyle name="40% - アクセント 4 4 2" xfId="765" xr:uid="{00000000-0005-0000-0000-00008B020000}"/>
    <cellStyle name="40% - アクセント 4 4 2 2" xfId="766" xr:uid="{00000000-0005-0000-0000-00008C020000}"/>
    <cellStyle name="40% - アクセント 4 4 2 2 2" xfId="767" xr:uid="{00000000-0005-0000-0000-00008D020000}"/>
    <cellStyle name="40% - アクセント 4 4 2 3" xfId="768" xr:uid="{00000000-0005-0000-0000-00008E020000}"/>
    <cellStyle name="40% - アクセント 4 4 2_Data" xfId="769" xr:uid="{00000000-0005-0000-0000-00008F020000}"/>
    <cellStyle name="40% - アクセント 4 4 3" xfId="770" xr:uid="{00000000-0005-0000-0000-000090020000}"/>
    <cellStyle name="40% - アクセント 4 4 3 2" xfId="771" xr:uid="{00000000-0005-0000-0000-000091020000}"/>
    <cellStyle name="40% - アクセント 4 4 4" xfId="772" xr:uid="{00000000-0005-0000-0000-000092020000}"/>
    <cellStyle name="40% - アクセント 4 4 4 2" xfId="773" xr:uid="{00000000-0005-0000-0000-000093020000}"/>
    <cellStyle name="40% - アクセント 4 4 5" xfId="774" xr:uid="{00000000-0005-0000-0000-000094020000}"/>
    <cellStyle name="40% - アクセント 4 4 5 2" xfId="775" xr:uid="{00000000-0005-0000-0000-000095020000}"/>
    <cellStyle name="40% - アクセント 4 4 6" xfId="776" xr:uid="{00000000-0005-0000-0000-000096020000}"/>
    <cellStyle name="40% - アクセント 4 4 6 2" xfId="777" xr:uid="{00000000-0005-0000-0000-000097020000}"/>
    <cellStyle name="40% - アクセント 4 4 7" xfId="778" xr:uid="{00000000-0005-0000-0000-000098020000}"/>
    <cellStyle name="40% - アクセント 4 4_Data" xfId="779" xr:uid="{00000000-0005-0000-0000-000099020000}"/>
    <cellStyle name="40% - アクセント 4 5" xfId="780" xr:uid="{00000000-0005-0000-0000-00009A020000}"/>
    <cellStyle name="40% - アクセント 4 5 2" xfId="781" xr:uid="{00000000-0005-0000-0000-00009B020000}"/>
    <cellStyle name="40% - アクセント 4 5 2 2" xfId="782" xr:uid="{00000000-0005-0000-0000-00009C020000}"/>
    <cellStyle name="40% - アクセント 4 5 3" xfId="783" xr:uid="{00000000-0005-0000-0000-00009D020000}"/>
    <cellStyle name="40% - アクセント 4 6" xfId="784" xr:uid="{00000000-0005-0000-0000-00009E020000}"/>
    <cellStyle name="40% - アクセント 4 6 2" xfId="785" xr:uid="{00000000-0005-0000-0000-00009F020000}"/>
    <cellStyle name="40% - アクセント 4 7" xfId="786" xr:uid="{00000000-0005-0000-0000-0000A0020000}"/>
    <cellStyle name="40% - アクセント 4 7 2" xfId="787" xr:uid="{00000000-0005-0000-0000-0000A1020000}"/>
    <cellStyle name="40% - アクセント 4 8" xfId="788" xr:uid="{00000000-0005-0000-0000-0000A2020000}"/>
    <cellStyle name="40% - アクセント 4 8 2" xfId="789" xr:uid="{00000000-0005-0000-0000-0000A3020000}"/>
    <cellStyle name="40% - アクセント 4 9" xfId="790" xr:uid="{00000000-0005-0000-0000-0000A4020000}"/>
    <cellStyle name="40% - アクセント 5 10" xfId="791" xr:uid="{00000000-0005-0000-0000-0000A5020000}"/>
    <cellStyle name="40% - アクセント 5 2" xfId="15" xr:uid="{00000000-0005-0000-0000-0000A6020000}"/>
    <cellStyle name="40% - アクセント 5 2 10" xfId="793" xr:uid="{00000000-0005-0000-0000-0000A7020000}"/>
    <cellStyle name="40% - アクセント 5 2 11" xfId="792" xr:uid="{00000000-0005-0000-0000-0000A8020000}"/>
    <cellStyle name="40% - アクセント 5 2 2" xfId="794" xr:uid="{00000000-0005-0000-0000-0000A9020000}"/>
    <cellStyle name="40% - アクセント 5 2 2 2" xfId="795" xr:uid="{00000000-0005-0000-0000-0000AA020000}"/>
    <cellStyle name="40% - アクセント 5 2 2 2 2" xfId="796" xr:uid="{00000000-0005-0000-0000-0000AB020000}"/>
    <cellStyle name="40% - アクセント 5 2 2 3" xfId="797" xr:uid="{00000000-0005-0000-0000-0000AC020000}"/>
    <cellStyle name="40% - アクセント 5 2 3" xfId="798" xr:uid="{00000000-0005-0000-0000-0000AD020000}"/>
    <cellStyle name="40% - アクセント 5 2 3 2" xfId="799" xr:uid="{00000000-0005-0000-0000-0000AE020000}"/>
    <cellStyle name="40% - アクセント 5 2 3 2 2" xfId="800" xr:uid="{00000000-0005-0000-0000-0000AF020000}"/>
    <cellStyle name="40% - アクセント 5 2 3 3" xfId="801" xr:uid="{00000000-0005-0000-0000-0000B0020000}"/>
    <cellStyle name="40% - アクセント 5 2 4" xfId="802" xr:uid="{00000000-0005-0000-0000-0000B1020000}"/>
    <cellStyle name="40% - アクセント 5 2 4 2" xfId="803" xr:uid="{00000000-0005-0000-0000-0000B2020000}"/>
    <cellStyle name="40% - アクセント 5 2 4 2 2" xfId="804" xr:uid="{00000000-0005-0000-0000-0000B3020000}"/>
    <cellStyle name="40% - アクセント 5 2 4 3" xfId="805" xr:uid="{00000000-0005-0000-0000-0000B4020000}"/>
    <cellStyle name="40% - アクセント 5 2 5" xfId="806" xr:uid="{00000000-0005-0000-0000-0000B5020000}"/>
    <cellStyle name="40% - アクセント 5 2 5 2" xfId="807" xr:uid="{00000000-0005-0000-0000-0000B6020000}"/>
    <cellStyle name="40% - アクセント 5 2 5 2 2" xfId="808" xr:uid="{00000000-0005-0000-0000-0000B7020000}"/>
    <cellStyle name="40% - アクセント 5 2 5 3" xfId="809" xr:uid="{00000000-0005-0000-0000-0000B8020000}"/>
    <cellStyle name="40% - アクセント 5 2 6" xfId="810" xr:uid="{00000000-0005-0000-0000-0000B9020000}"/>
    <cellStyle name="40% - アクセント 5 2 6 2" xfId="811" xr:uid="{00000000-0005-0000-0000-0000BA020000}"/>
    <cellStyle name="40% - アクセント 5 2 7" xfId="812" xr:uid="{00000000-0005-0000-0000-0000BB020000}"/>
    <cellStyle name="40% - アクセント 5 2 7 2" xfId="813" xr:uid="{00000000-0005-0000-0000-0000BC020000}"/>
    <cellStyle name="40% - アクセント 5 2 8" xfId="814" xr:uid="{00000000-0005-0000-0000-0000BD020000}"/>
    <cellStyle name="40% - アクセント 5 2 8 2" xfId="815" xr:uid="{00000000-0005-0000-0000-0000BE020000}"/>
    <cellStyle name="40% - アクセント 5 2 9" xfId="816" xr:uid="{00000000-0005-0000-0000-0000BF020000}"/>
    <cellStyle name="40% - アクセント 5 2 9 2" xfId="817" xr:uid="{00000000-0005-0000-0000-0000C0020000}"/>
    <cellStyle name="40% - アクセント 5 2_Apply_Change" xfId="818" xr:uid="{00000000-0005-0000-0000-0000C1020000}"/>
    <cellStyle name="40% - アクセント 5 3" xfId="819" xr:uid="{00000000-0005-0000-0000-0000C2020000}"/>
    <cellStyle name="40% - アクセント 5 3 2" xfId="820" xr:uid="{00000000-0005-0000-0000-0000C3020000}"/>
    <cellStyle name="40% - アクセント 5 3 2 2" xfId="821" xr:uid="{00000000-0005-0000-0000-0000C4020000}"/>
    <cellStyle name="40% - アクセント 5 3 2 2 2" xfId="822" xr:uid="{00000000-0005-0000-0000-0000C5020000}"/>
    <cellStyle name="40% - アクセント 5 3 2 3" xfId="823" xr:uid="{00000000-0005-0000-0000-0000C6020000}"/>
    <cellStyle name="40% - アクセント 5 3 2_Data" xfId="824" xr:uid="{00000000-0005-0000-0000-0000C7020000}"/>
    <cellStyle name="40% - アクセント 5 3 3" xfId="825" xr:uid="{00000000-0005-0000-0000-0000C8020000}"/>
    <cellStyle name="40% - アクセント 5 3 3 2" xfId="826" xr:uid="{00000000-0005-0000-0000-0000C9020000}"/>
    <cellStyle name="40% - アクセント 5 3 4" xfId="827" xr:uid="{00000000-0005-0000-0000-0000CA020000}"/>
    <cellStyle name="40% - アクセント 5 3 4 2" xfId="828" xr:uid="{00000000-0005-0000-0000-0000CB020000}"/>
    <cellStyle name="40% - アクセント 5 3 5" xfId="829" xr:uid="{00000000-0005-0000-0000-0000CC020000}"/>
    <cellStyle name="40% - アクセント 5 3 5 2" xfId="830" xr:uid="{00000000-0005-0000-0000-0000CD020000}"/>
    <cellStyle name="40% - アクセント 5 3 6" xfId="831" xr:uid="{00000000-0005-0000-0000-0000CE020000}"/>
    <cellStyle name="40% - アクセント 5 3 6 2" xfId="832" xr:uid="{00000000-0005-0000-0000-0000CF020000}"/>
    <cellStyle name="40% - アクセント 5 3 7" xfId="833" xr:uid="{00000000-0005-0000-0000-0000D0020000}"/>
    <cellStyle name="40% - アクセント 5 3_Data" xfId="834" xr:uid="{00000000-0005-0000-0000-0000D1020000}"/>
    <cellStyle name="40% - アクセント 5 4" xfId="835" xr:uid="{00000000-0005-0000-0000-0000D2020000}"/>
    <cellStyle name="40% - アクセント 5 4 2" xfId="836" xr:uid="{00000000-0005-0000-0000-0000D3020000}"/>
    <cellStyle name="40% - アクセント 5 4 2 2" xfId="837" xr:uid="{00000000-0005-0000-0000-0000D4020000}"/>
    <cellStyle name="40% - アクセント 5 4 2 2 2" xfId="838" xr:uid="{00000000-0005-0000-0000-0000D5020000}"/>
    <cellStyle name="40% - アクセント 5 4 2 3" xfId="839" xr:uid="{00000000-0005-0000-0000-0000D6020000}"/>
    <cellStyle name="40% - アクセント 5 4 2_Data" xfId="840" xr:uid="{00000000-0005-0000-0000-0000D7020000}"/>
    <cellStyle name="40% - アクセント 5 4 3" xfId="841" xr:uid="{00000000-0005-0000-0000-0000D8020000}"/>
    <cellStyle name="40% - アクセント 5 4 3 2" xfId="842" xr:uid="{00000000-0005-0000-0000-0000D9020000}"/>
    <cellStyle name="40% - アクセント 5 4 4" xfId="843" xr:uid="{00000000-0005-0000-0000-0000DA020000}"/>
    <cellStyle name="40% - アクセント 5 4 4 2" xfId="844" xr:uid="{00000000-0005-0000-0000-0000DB020000}"/>
    <cellStyle name="40% - アクセント 5 4 5" xfId="845" xr:uid="{00000000-0005-0000-0000-0000DC020000}"/>
    <cellStyle name="40% - アクセント 5 4 5 2" xfId="846" xr:uid="{00000000-0005-0000-0000-0000DD020000}"/>
    <cellStyle name="40% - アクセント 5 4 6" xfId="847" xr:uid="{00000000-0005-0000-0000-0000DE020000}"/>
    <cellStyle name="40% - アクセント 5 4 6 2" xfId="848" xr:uid="{00000000-0005-0000-0000-0000DF020000}"/>
    <cellStyle name="40% - アクセント 5 4 7" xfId="849" xr:uid="{00000000-0005-0000-0000-0000E0020000}"/>
    <cellStyle name="40% - アクセント 5 4_Data" xfId="850" xr:uid="{00000000-0005-0000-0000-0000E1020000}"/>
    <cellStyle name="40% - アクセント 5 5" xfId="851" xr:uid="{00000000-0005-0000-0000-0000E2020000}"/>
    <cellStyle name="40% - アクセント 5 5 2" xfId="852" xr:uid="{00000000-0005-0000-0000-0000E3020000}"/>
    <cellStyle name="40% - アクセント 5 5 2 2" xfId="853" xr:uid="{00000000-0005-0000-0000-0000E4020000}"/>
    <cellStyle name="40% - アクセント 5 5 3" xfId="854" xr:uid="{00000000-0005-0000-0000-0000E5020000}"/>
    <cellStyle name="40% - アクセント 5 6" xfId="855" xr:uid="{00000000-0005-0000-0000-0000E6020000}"/>
    <cellStyle name="40% - アクセント 5 6 2" xfId="856" xr:uid="{00000000-0005-0000-0000-0000E7020000}"/>
    <cellStyle name="40% - アクセント 5 7" xfId="857" xr:uid="{00000000-0005-0000-0000-0000E8020000}"/>
    <cellStyle name="40% - アクセント 5 7 2" xfId="858" xr:uid="{00000000-0005-0000-0000-0000E9020000}"/>
    <cellStyle name="40% - アクセント 5 8" xfId="859" xr:uid="{00000000-0005-0000-0000-0000EA020000}"/>
    <cellStyle name="40% - アクセント 5 8 2" xfId="860" xr:uid="{00000000-0005-0000-0000-0000EB020000}"/>
    <cellStyle name="40% - アクセント 5 9" xfId="861" xr:uid="{00000000-0005-0000-0000-0000EC020000}"/>
    <cellStyle name="40% - アクセント 6 10" xfId="862" xr:uid="{00000000-0005-0000-0000-0000ED020000}"/>
    <cellStyle name="40% - アクセント 6 2" xfId="16" xr:uid="{00000000-0005-0000-0000-0000EE020000}"/>
    <cellStyle name="40% - アクセント 6 2 10" xfId="864" xr:uid="{00000000-0005-0000-0000-0000EF020000}"/>
    <cellStyle name="40% - アクセント 6 2 11" xfId="863" xr:uid="{00000000-0005-0000-0000-0000F0020000}"/>
    <cellStyle name="40% - アクセント 6 2 2" xfId="865" xr:uid="{00000000-0005-0000-0000-0000F1020000}"/>
    <cellStyle name="40% - アクセント 6 2 2 2" xfId="866" xr:uid="{00000000-0005-0000-0000-0000F2020000}"/>
    <cellStyle name="40% - アクセント 6 2 2 2 2" xfId="867" xr:uid="{00000000-0005-0000-0000-0000F3020000}"/>
    <cellStyle name="40% - アクセント 6 2 2 3" xfId="868" xr:uid="{00000000-0005-0000-0000-0000F4020000}"/>
    <cellStyle name="40% - アクセント 6 2 3" xfId="869" xr:uid="{00000000-0005-0000-0000-0000F5020000}"/>
    <cellStyle name="40% - アクセント 6 2 3 2" xfId="870" xr:uid="{00000000-0005-0000-0000-0000F6020000}"/>
    <cellStyle name="40% - アクセント 6 2 3 2 2" xfId="871" xr:uid="{00000000-0005-0000-0000-0000F7020000}"/>
    <cellStyle name="40% - アクセント 6 2 3 3" xfId="872" xr:uid="{00000000-0005-0000-0000-0000F8020000}"/>
    <cellStyle name="40% - アクセント 6 2 4" xfId="873" xr:uid="{00000000-0005-0000-0000-0000F9020000}"/>
    <cellStyle name="40% - アクセント 6 2 4 2" xfId="874" xr:uid="{00000000-0005-0000-0000-0000FA020000}"/>
    <cellStyle name="40% - アクセント 6 2 4 2 2" xfId="875" xr:uid="{00000000-0005-0000-0000-0000FB020000}"/>
    <cellStyle name="40% - アクセント 6 2 4 3" xfId="876" xr:uid="{00000000-0005-0000-0000-0000FC020000}"/>
    <cellStyle name="40% - アクセント 6 2 5" xfId="877" xr:uid="{00000000-0005-0000-0000-0000FD020000}"/>
    <cellStyle name="40% - アクセント 6 2 5 2" xfId="878" xr:uid="{00000000-0005-0000-0000-0000FE020000}"/>
    <cellStyle name="40% - アクセント 6 2 5 2 2" xfId="879" xr:uid="{00000000-0005-0000-0000-0000FF020000}"/>
    <cellStyle name="40% - アクセント 6 2 5 3" xfId="880" xr:uid="{00000000-0005-0000-0000-000000030000}"/>
    <cellStyle name="40% - アクセント 6 2 6" xfId="881" xr:uid="{00000000-0005-0000-0000-000001030000}"/>
    <cellStyle name="40% - アクセント 6 2 6 2" xfId="882" xr:uid="{00000000-0005-0000-0000-000002030000}"/>
    <cellStyle name="40% - アクセント 6 2 7" xfId="883" xr:uid="{00000000-0005-0000-0000-000003030000}"/>
    <cellStyle name="40% - アクセント 6 2 7 2" xfId="884" xr:uid="{00000000-0005-0000-0000-000004030000}"/>
    <cellStyle name="40% - アクセント 6 2 8" xfId="885" xr:uid="{00000000-0005-0000-0000-000005030000}"/>
    <cellStyle name="40% - アクセント 6 2 8 2" xfId="886" xr:uid="{00000000-0005-0000-0000-000006030000}"/>
    <cellStyle name="40% - アクセント 6 2 9" xfId="887" xr:uid="{00000000-0005-0000-0000-000007030000}"/>
    <cellStyle name="40% - アクセント 6 2 9 2" xfId="888" xr:uid="{00000000-0005-0000-0000-000008030000}"/>
    <cellStyle name="40% - アクセント 6 2_Apply_Change" xfId="889" xr:uid="{00000000-0005-0000-0000-000009030000}"/>
    <cellStyle name="40% - アクセント 6 3" xfId="890" xr:uid="{00000000-0005-0000-0000-00000A030000}"/>
    <cellStyle name="40% - アクセント 6 3 2" xfId="891" xr:uid="{00000000-0005-0000-0000-00000B030000}"/>
    <cellStyle name="40% - アクセント 6 3 2 2" xfId="892" xr:uid="{00000000-0005-0000-0000-00000C030000}"/>
    <cellStyle name="40% - アクセント 6 3 2 2 2" xfId="893" xr:uid="{00000000-0005-0000-0000-00000D030000}"/>
    <cellStyle name="40% - アクセント 6 3 2 3" xfId="894" xr:uid="{00000000-0005-0000-0000-00000E030000}"/>
    <cellStyle name="40% - アクセント 6 3 2_Data" xfId="895" xr:uid="{00000000-0005-0000-0000-00000F030000}"/>
    <cellStyle name="40% - アクセント 6 3 3" xfId="896" xr:uid="{00000000-0005-0000-0000-000010030000}"/>
    <cellStyle name="40% - アクセント 6 3 3 2" xfId="897" xr:uid="{00000000-0005-0000-0000-000011030000}"/>
    <cellStyle name="40% - アクセント 6 3 4" xfId="898" xr:uid="{00000000-0005-0000-0000-000012030000}"/>
    <cellStyle name="40% - アクセント 6 3 4 2" xfId="899" xr:uid="{00000000-0005-0000-0000-000013030000}"/>
    <cellStyle name="40% - アクセント 6 3 5" xfId="900" xr:uid="{00000000-0005-0000-0000-000014030000}"/>
    <cellStyle name="40% - アクセント 6 3 5 2" xfId="901" xr:uid="{00000000-0005-0000-0000-000015030000}"/>
    <cellStyle name="40% - アクセント 6 3 6" xfId="902" xr:uid="{00000000-0005-0000-0000-000016030000}"/>
    <cellStyle name="40% - アクセント 6 3 6 2" xfId="903" xr:uid="{00000000-0005-0000-0000-000017030000}"/>
    <cellStyle name="40% - アクセント 6 3 7" xfId="904" xr:uid="{00000000-0005-0000-0000-000018030000}"/>
    <cellStyle name="40% - アクセント 6 3_Data" xfId="905" xr:uid="{00000000-0005-0000-0000-000019030000}"/>
    <cellStyle name="40% - アクセント 6 4" xfId="906" xr:uid="{00000000-0005-0000-0000-00001A030000}"/>
    <cellStyle name="40% - アクセント 6 4 2" xfId="907" xr:uid="{00000000-0005-0000-0000-00001B030000}"/>
    <cellStyle name="40% - アクセント 6 4 2 2" xfId="908" xr:uid="{00000000-0005-0000-0000-00001C030000}"/>
    <cellStyle name="40% - アクセント 6 4 2 2 2" xfId="909" xr:uid="{00000000-0005-0000-0000-00001D030000}"/>
    <cellStyle name="40% - アクセント 6 4 2 3" xfId="910" xr:uid="{00000000-0005-0000-0000-00001E030000}"/>
    <cellStyle name="40% - アクセント 6 4 2_Data" xfId="911" xr:uid="{00000000-0005-0000-0000-00001F030000}"/>
    <cellStyle name="40% - アクセント 6 4 3" xfId="912" xr:uid="{00000000-0005-0000-0000-000020030000}"/>
    <cellStyle name="40% - アクセント 6 4 3 2" xfId="913" xr:uid="{00000000-0005-0000-0000-000021030000}"/>
    <cellStyle name="40% - アクセント 6 4 4" xfId="914" xr:uid="{00000000-0005-0000-0000-000022030000}"/>
    <cellStyle name="40% - アクセント 6 4 4 2" xfId="915" xr:uid="{00000000-0005-0000-0000-000023030000}"/>
    <cellStyle name="40% - アクセント 6 4 5" xfId="916" xr:uid="{00000000-0005-0000-0000-000024030000}"/>
    <cellStyle name="40% - アクセント 6 4 5 2" xfId="917" xr:uid="{00000000-0005-0000-0000-000025030000}"/>
    <cellStyle name="40% - アクセント 6 4 6" xfId="918" xr:uid="{00000000-0005-0000-0000-000026030000}"/>
    <cellStyle name="40% - アクセント 6 4 6 2" xfId="919" xr:uid="{00000000-0005-0000-0000-000027030000}"/>
    <cellStyle name="40% - アクセント 6 4 7" xfId="920" xr:uid="{00000000-0005-0000-0000-000028030000}"/>
    <cellStyle name="40% - アクセント 6 4_Data" xfId="921" xr:uid="{00000000-0005-0000-0000-000029030000}"/>
    <cellStyle name="40% - アクセント 6 5" xfId="922" xr:uid="{00000000-0005-0000-0000-00002A030000}"/>
    <cellStyle name="40% - アクセント 6 5 2" xfId="923" xr:uid="{00000000-0005-0000-0000-00002B030000}"/>
    <cellStyle name="40% - アクセント 6 5 2 2" xfId="924" xr:uid="{00000000-0005-0000-0000-00002C030000}"/>
    <cellStyle name="40% - アクセント 6 5 3" xfId="925" xr:uid="{00000000-0005-0000-0000-00002D030000}"/>
    <cellStyle name="40% - アクセント 6 6" xfId="926" xr:uid="{00000000-0005-0000-0000-00002E030000}"/>
    <cellStyle name="40% - アクセント 6 6 2" xfId="927" xr:uid="{00000000-0005-0000-0000-00002F030000}"/>
    <cellStyle name="40% - アクセント 6 7" xfId="928" xr:uid="{00000000-0005-0000-0000-000030030000}"/>
    <cellStyle name="40% - アクセント 6 7 2" xfId="929" xr:uid="{00000000-0005-0000-0000-000031030000}"/>
    <cellStyle name="40% - アクセント 6 8" xfId="930" xr:uid="{00000000-0005-0000-0000-000032030000}"/>
    <cellStyle name="40% - アクセント 6 8 2" xfId="931" xr:uid="{00000000-0005-0000-0000-000033030000}"/>
    <cellStyle name="40% - アクセント 6 9" xfId="932" xr:uid="{00000000-0005-0000-0000-000034030000}"/>
    <cellStyle name="60% - アクセント 1 2" xfId="17" xr:uid="{00000000-0005-0000-0000-000035030000}"/>
    <cellStyle name="60% - アクセント 1 2 2" xfId="934" xr:uid="{00000000-0005-0000-0000-000036030000}"/>
    <cellStyle name="60% - アクセント 1 2 3" xfId="933" xr:uid="{00000000-0005-0000-0000-000037030000}"/>
    <cellStyle name="60% - アクセント 1 3" xfId="935" xr:uid="{00000000-0005-0000-0000-000038030000}"/>
    <cellStyle name="60% - アクセント 1 3 2" xfId="936" xr:uid="{00000000-0005-0000-0000-000039030000}"/>
    <cellStyle name="60% - アクセント 1 4" xfId="937" xr:uid="{00000000-0005-0000-0000-00003A030000}"/>
    <cellStyle name="60% - アクセント 1 4 2" xfId="938" xr:uid="{00000000-0005-0000-0000-00003B030000}"/>
    <cellStyle name="60% - アクセント 1 5" xfId="939" xr:uid="{00000000-0005-0000-0000-00003C030000}"/>
    <cellStyle name="60% - アクセント 1 5 2" xfId="940" xr:uid="{00000000-0005-0000-0000-00003D030000}"/>
    <cellStyle name="60% - アクセント 1 6" xfId="941" xr:uid="{00000000-0005-0000-0000-00003E030000}"/>
    <cellStyle name="60% - アクセント 2 2" xfId="18" xr:uid="{00000000-0005-0000-0000-00003F030000}"/>
    <cellStyle name="60% - アクセント 2 2 2" xfId="943" xr:uid="{00000000-0005-0000-0000-000040030000}"/>
    <cellStyle name="60% - アクセント 2 2 3" xfId="942" xr:uid="{00000000-0005-0000-0000-000041030000}"/>
    <cellStyle name="60% - アクセント 2 3" xfId="944" xr:uid="{00000000-0005-0000-0000-000042030000}"/>
    <cellStyle name="60% - アクセント 2 3 2" xfId="945" xr:uid="{00000000-0005-0000-0000-000043030000}"/>
    <cellStyle name="60% - アクセント 2 4" xfId="946" xr:uid="{00000000-0005-0000-0000-000044030000}"/>
    <cellStyle name="60% - アクセント 2 4 2" xfId="947" xr:uid="{00000000-0005-0000-0000-000045030000}"/>
    <cellStyle name="60% - アクセント 2 5" xfId="948" xr:uid="{00000000-0005-0000-0000-000046030000}"/>
    <cellStyle name="60% - アクセント 2 5 2" xfId="949" xr:uid="{00000000-0005-0000-0000-000047030000}"/>
    <cellStyle name="60% - アクセント 2 6" xfId="950" xr:uid="{00000000-0005-0000-0000-000048030000}"/>
    <cellStyle name="60% - アクセント 3 2" xfId="19" xr:uid="{00000000-0005-0000-0000-000049030000}"/>
    <cellStyle name="60% - アクセント 3 2 2" xfId="952" xr:uid="{00000000-0005-0000-0000-00004A030000}"/>
    <cellStyle name="60% - アクセント 3 2 3" xfId="951" xr:uid="{00000000-0005-0000-0000-00004B030000}"/>
    <cellStyle name="60% - アクセント 3 3" xfId="953" xr:uid="{00000000-0005-0000-0000-00004C030000}"/>
    <cellStyle name="60% - アクセント 3 3 2" xfId="954" xr:uid="{00000000-0005-0000-0000-00004D030000}"/>
    <cellStyle name="60% - アクセント 3 4" xfId="955" xr:uid="{00000000-0005-0000-0000-00004E030000}"/>
    <cellStyle name="60% - アクセント 3 4 2" xfId="956" xr:uid="{00000000-0005-0000-0000-00004F030000}"/>
    <cellStyle name="60% - アクセント 3 5" xfId="957" xr:uid="{00000000-0005-0000-0000-000050030000}"/>
    <cellStyle name="60% - アクセント 3 5 2" xfId="958" xr:uid="{00000000-0005-0000-0000-000051030000}"/>
    <cellStyle name="60% - アクセント 3 6" xfId="959" xr:uid="{00000000-0005-0000-0000-000052030000}"/>
    <cellStyle name="60% - アクセント 4 2" xfId="20" xr:uid="{00000000-0005-0000-0000-000053030000}"/>
    <cellStyle name="60% - アクセント 4 2 2" xfId="961" xr:uid="{00000000-0005-0000-0000-000054030000}"/>
    <cellStyle name="60% - アクセント 4 2 3" xfId="960" xr:uid="{00000000-0005-0000-0000-000055030000}"/>
    <cellStyle name="60% - アクセント 4 3" xfId="962" xr:uid="{00000000-0005-0000-0000-000056030000}"/>
    <cellStyle name="60% - アクセント 4 3 2" xfId="963" xr:uid="{00000000-0005-0000-0000-000057030000}"/>
    <cellStyle name="60% - アクセント 4 4" xfId="964" xr:uid="{00000000-0005-0000-0000-000058030000}"/>
    <cellStyle name="60% - アクセント 4 4 2" xfId="965" xr:uid="{00000000-0005-0000-0000-000059030000}"/>
    <cellStyle name="60% - アクセント 4 5" xfId="966" xr:uid="{00000000-0005-0000-0000-00005A030000}"/>
    <cellStyle name="60% - アクセント 4 5 2" xfId="967" xr:uid="{00000000-0005-0000-0000-00005B030000}"/>
    <cellStyle name="60% - アクセント 4 6" xfId="968" xr:uid="{00000000-0005-0000-0000-00005C030000}"/>
    <cellStyle name="60% - アクセント 5 2" xfId="21" xr:uid="{00000000-0005-0000-0000-00005D030000}"/>
    <cellStyle name="60% - アクセント 5 2 2" xfId="970" xr:uid="{00000000-0005-0000-0000-00005E030000}"/>
    <cellStyle name="60% - アクセント 5 2 3" xfId="969" xr:uid="{00000000-0005-0000-0000-00005F030000}"/>
    <cellStyle name="60% - アクセント 5 3" xfId="971" xr:uid="{00000000-0005-0000-0000-000060030000}"/>
    <cellStyle name="60% - アクセント 5 3 2" xfId="972" xr:uid="{00000000-0005-0000-0000-000061030000}"/>
    <cellStyle name="60% - アクセント 5 4" xfId="973" xr:uid="{00000000-0005-0000-0000-000062030000}"/>
    <cellStyle name="60% - アクセント 5 4 2" xfId="974" xr:uid="{00000000-0005-0000-0000-000063030000}"/>
    <cellStyle name="60% - アクセント 5 5" xfId="975" xr:uid="{00000000-0005-0000-0000-000064030000}"/>
    <cellStyle name="60% - アクセント 5 5 2" xfId="976" xr:uid="{00000000-0005-0000-0000-000065030000}"/>
    <cellStyle name="60% - アクセント 5 6" xfId="977" xr:uid="{00000000-0005-0000-0000-000066030000}"/>
    <cellStyle name="60% - アクセント 6 2" xfId="22" xr:uid="{00000000-0005-0000-0000-000067030000}"/>
    <cellStyle name="60% - アクセント 6 2 2" xfId="979" xr:uid="{00000000-0005-0000-0000-000068030000}"/>
    <cellStyle name="60% - アクセント 6 2 3" xfId="978" xr:uid="{00000000-0005-0000-0000-000069030000}"/>
    <cellStyle name="60% - アクセント 6 3" xfId="980" xr:uid="{00000000-0005-0000-0000-00006A030000}"/>
    <cellStyle name="60% - アクセント 6 3 2" xfId="981" xr:uid="{00000000-0005-0000-0000-00006B030000}"/>
    <cellStyle name="60% - アクセント 6 4" xfId="982" xr:uid="{00000000-0005-0000-0000-00006C030000}"/>
    <cellStyle name="60% - アクセント 6 4 2" xfId="983" xr:uid="{00000000-0005-0000-0000-00006D030000}"/>
    <cellStyle name="60% - アクセント 6 5" xfId="984" xr:uid="{00000000-0005-0000-0000-00006E030000}"/>
    <cellStyle name="60% - アクセント 6 5 2" xfId="985" xr:uid="{00000000-0005-0000-0000-00006F030000}"/>
    <cellStyle name="60% - アクセント 6 6" xfId="986" xr:uid="{00000000-0005-0000-0000-000070030000}"/>
    <cellStyle name="アクセント 1 2" xfId="23" xr:uid="{00000000-0005-0000-0000-000071030000}"/>
    <cellStyle name="アクセント 1 2 2" xfId="988" xr:uid="{00000000-0005-0000-0000-000072030000}"/>
    <cellStyle name="アクセント 1 2 3" xfId="987" xr:uid="{00000000-0005-0000-0000-000073030000}"/>
    <cellStyle name="アクセント 1 3" xfId="989" xr:uid="{00000000-0005-0000-0000-000074030000}"/>
    <cellStyle name="アクセント 1 3 2" xfId="990" xr:uid="{00000000-0005-0000-0000-000075030000}"/>
    <cellStyle name="アクセント 1 4" xfId="991" xr:uid="{00000000-0005-0000-0000-000076030000}"/>
    <cellStyle name="アクセント 1 4 2" xfId="992" xr:uid="{00000000-0005-0000-0000-000077030000}"/>
    <cellStyle name="アクセント 1 5" xfId="993" xr:uid="{00000000-0005-0000-0000-000078030000}"/>
    <cellStyle name="アクセント 1 5 2" xfId="994" xr:uid="{00000000-0005-0000-0000-000079030000}"/>
    <cellStyle name="アクセント 1 6" xfId="995" xr:uid="{00000000-0005-0000-0000-00007A030000}"/>
    <cellStyle name="アクセント 2 2" xfId="24" xr:uid="{00000000-0005-0000-0000-00007B030000}"/>
    <cellStyle name="アクセント 2 2 2" xfId="997" xr:uid="{00000000-0005-0000-0000-00007C030000}"/>
    <cellStyle name="アクセント 2 2 3" xfId="996" xr:uid="{00000000-0005-0000-0000-00007D030000}"/>
    <cellStyle name="アクセント 2 3" xfId="998" xr:uid="{00000000-0005-0000-0000-00007E030000}"/>
    <cellStyle name="アクセント 2 3 2" xfId="999" xr:uid="{00000000-0005-0000-0000-00007F030000}"/>
    <cellStyle name="アクセント 2 4" xfId="1000" xr:uid="{00000000-0005-0000-0000-000080030000}"/>
    <cellStyle name="アクセント 2 4 2" xfId="1001" xr:uid="{00000000-0005-0000-0000-000081030000}"/>
    <cellStyle name="アクセント 2 5" xfId="1002" xr:uid="{00000000-0005-0000-0000-000082030000}"/>
    <cellStyle name="アクセント 2 5 2" xfId="1003" xr:uid="{00000000-0005-0000-0000-000083030000}"/>
    <cellStyle name="アクセント 2 6" xfId="1004" xr:uid="{00000000-0005-0000-0000-000084030000}"/>
    <cellStyle name="アクセント 3 2" xfId="25" xr:uid="{00000000-0005-0000-0000-000085030000}"/>
    <cellStyle name="アクセント 3 2 2" xfId="1006" xr:uid="{00000000-0005-0000-0000-000086030000}"/>
    <cellStyle name="アクセント 3 2 3" xfId="1005" xr:uid="{00000000-0005-0000-0000-000087030000}"/>
    <cellStyle name="アクセント 3 3" xfId="1007" xr:uid="{00000000-0005-0000-0000-000088030000}"/>
    <cellStyle name="アクセント 3 3 2" xfId="1008" xr:uid="{00000000-0005-0000-0000-000089030000}"/>
    <cellStyle name="アクセント 3 4" xfId="1009" xr:uid="{00000000-0005-0000-0000-00008A030000}"/>
    <cellStyle name="アクセント 3 4 2" xfId="1010" xr:uid="{00000000-0005-0000-0000-00008B030000}"/>
    <cellStyle name="アクセント 3 5" xfId="1011" xr:uid="{00000000-0005-0000-0000-00008C030000}"/>
    <cellStyle name="アクセント 3 5 2" xfId="1012" xr:uid="{00000000-0005-0000-0000-00008D030000}"/>
    <cellStyle name="アクセント 3 6" xfId="1013" xr:uid="{00000000-0005-0000-0000-00008E030000}"/>
    <cellStyle name="アクセント 4 2" xfId="26" xr:uid="{00000000-0005-0000-0000-00008F030000}"/>
    <cellStyle name="アクセント 4 2 2" xfId="1015" xr:uid="{00000000-0005-0000-0000-000090030000}"/>
    <cellStyle name="アクセント 4 2 3" xfId="1014" xr:uid="{00000000-0005-0000-0000-000091030000}"/>
    <cellStyle name="アクセント 4 3" xfId="1016" xr:uid="{00000000-0005-0000-0000-000092030000}"/>
    <cellStyle name="アクセント 4 3 2" xfId="1017" xr:uid="{00000000-0005-0000-0000-000093030000}"/>
    <cellStyle name="アクセント 4 4" xfId="1018" xr:uid="{00000000-0005-0000-0000-000094030000}"/>
    <cellStyle name="アクセント 4 4 2" xfId="1019" xr:uid="{00000000-0005-0000-0000-000095030000}"/>
    <cellStyle name="アクセント 4 5" xfId="1020" xr:uid="{00000000-0005-0000-0000-000096030000}"/>
    <cellStyle name="アクセント 4 5 2" xfId="1021" xr:uid="{00000000-0005-0000-0000-000097030000}"/>
    <cellStyle name="アクセント 4 6" xfId="1022" xr:uid="{00000000-0005-0000-0000-000098030000}"/>
    <cellStyle name="アクセント 5 2" xfId="27" xr:uid="{00000000-0005-0000-0000-000099030000}"/>
    <cellStyle name="アクセント 5 2 2" xfId="1024" xr:uid="{00000000-0005-0000-0000-00009A030000}"/>
    <cellStyle name="アクセント 5 2 3" xfId="1023" xr:uid="{00000000-0005-0000-0000-00009B030000}"/>
    <cellStyle name="アクセント 5 3" xfId="1025" xr:uid="{00000000-0005-0000-0000-00009C030000}"/>
    <cellStyle name="アクセント 5 3 2" xfId="1026" xr:uid="{00000000-0005-0000-0000-00009D030000}"/>
    <cellStyle name="アクセント 5 4" xfId="1027" xr:uid="{00000000-0005-0000-0000-00009E030000}"/>
    <cellStyle name="アクセント 5 4 2" xfId="1028" xr:uid="{00000000-0005-0000-0000-00009F030000}"/>
    <cellStyle name="アクセント 5 5" xfId="1029" xr:uid="{00000000-0005-0000-0000-0000A0030000}"/>
    <cellStyle name="アクセント 5 5 2" xfId="1030" xr:uid="{00000000-0005-0000-0000-0000A1030000}"/>
    <cellStyle name="アクセント 5 6" xfId="1031" xr:uid="{00000000-0005-0000-0000-0000A2030000}"/>
    <cellStyle name="アクセント 6 2" xfId="28" xr:uid="{00000000-0005-0000-0000-0000A3030000}"/>
    <cellStyle name="アクセント 6 2 2" xfId="1033" xr:uid="{00000000-0005-0000-0000-0000A4030000}"/>
    <cellStyle name="アクセント 6 2 3" xfId="1032" xr:uid="{00000000-0005-0000-0000-0000A5030000}"/>
    <cellStyle name="アクセント 6 3" xfId="1034" xr:uid="{00000000-0005-0000-0000-0000A6030000}"/>
    <cellStyle name="アクセント 6 3 2" xfId="1035" xr:uid="{00000000-0005-0000-0000-0000A7030000}"/>
    <cellStyle name="アクセント 6 4" xfId="1036" xr:uid="{00000000-0005-0000-0000-0000A8030000}"/>
    <cellStyle name="アクセント 6 4 2" xfId="1037" xr:uid="{00000000-0005-0000-0000-0000A9030000}"/>
    <cellStyle name="アクセント 6 5" xfId="1038" xr:uid="{00000000-0005-0000-0000-0000AA030000}"/>
    <cellStyle name="アクセント 6 5 2" xfId="1039" xr:uid="{00000000-0005-0000-0000-0000AB030000}"/>
    <cellStyle name="アクセント 6 6" xfId="1040" xr:uid="{00000000-0005-0000-0000-0000AC030000}"/>
    <cellStyle name="タイトル 2" xfId="29" xr:uid="{00000000-0005-0000-0000-0000AD030000}"/>
    <cellStyle name="タイトル 2 2" xfId="1041" xr:uid="{00000000-0005-0000-0000-0000AE030000}"/>
    <cellStyle name="タイトル 3" xfId="1042" xr:uid="{00000000-0005-0000-0000-0000AF030000}"/>
    <cellStyle name="タイトル 3 2" xfId="1043" xr:uid="{00000000-0005-0000-0000-0000B0030000}"/>
    <cellStyle name="タイトル 4" xfId="1044" xr:uid="{00000000-0005-0000-0000-0000B1030000}"/>
    <cellStyle name="タイトル 4 2" xfId="1045" xr:uid="{00000000-0005-0000-0000-0000B2030000}"/>
    <cellStyle name="タイトル 5" xfId="1046" xr:uid="{00000000-0005-0000-0000-0000B3030000}"/>
    <cellStyle name="チェック セル 2" xfId="30" xr:uid="{00000000-0005-0000-0000-0000B4030000}"/>
    <cellStyle name="チェック セル 2 2" xfId="1048" xr:uid="{00000000-0005-0000-0000-0000B5030000}"/>
    <cellStyle name="チェック セル 2 3" xfId="1047" xr:uid="{00000000-0005-0000-0000-0000B6030000}"/>
    <cellStyle name="チェック セル 3" xfId="1049" xr:uid="{00000000-0005-0000-0000-0000B7030000}"/>
    <cellStyle name="チェック セル 3 2" xfId="1050" xr:uid="{00000000-0005-0000-0000-0000B8030000}"/>
    <cellStyle name="チェック セル 4" xfId="1051" xr:uid="{00000000-0005-0000-0000-0000B9030000}"/>
    <cellStyle name="チェック セル 4 2" xfId="1052" xr:uid="{00000000-0005-0000-0000-0000BA030000}"/>
    <cellStyle name="チェック セル 5" xfId="1053" xr:uid="{00000000-0005-0000-0000-0000BB030000}"/>
    <cellStyle name="チェック セル 5 2" xfId="1054" xr:uid="{00000000-0005-0000-0000-0000BC030000}"/>
    <cellStyle name="どちらでもない 2" xfId="31" xr:uid="{00000000-0005-0000-0000-0000BD030000}"/>
    <cellStyle name="どちらでもない 2 2" xfId="1056" xr:uid="{00000000-0005-0000-0000-0000BE030000}"/>
    <cellStyle name="どちらでもない 2 3" xfId="1055" xr:uid="{00000000-0005-0000-0000-0000BF030000}"/>
    <cellStyle name="どちらでもない 3" xfId="1057" xr:uid="{00000000-0005-0000-0000-0000C0030000}"/>
    <cellStyle name="どちらでもない 3 2" xfId="1058" xr:uid="{00000000-0005-0000-0000-0000C1030000}"/>
    <cellStyle name="どちらでもない 4" xfId="1059" xr:uid="{00000000-0005-0000-0000-0000C2030000}"/>
    <cellStyle name="どちらでもない 4 2" xfId="1060" xr:uid="{00000000-0005-0000-0000-0000C3030000}"/>
    <cellStyle name="どちらでもない 5" xfId="1061" xr:uid="{00000000-0005-0000-0000-0000C4030000}"/>
    <cellStyle name="どちらでもない 5 2" xfId="1062" xr:uid="{00000000-0005-0000-0000-0000C5030000}"/>
    <cellStyle name="パーセント 2" xfId="32" xr:uid="{00000000-0005-0000-0000-0000C6030000}"/>
    <cellStyle name="パーセント 2 10" xfId="1063" xr:uid="{00000000-0005-0000-0000-0000C7030000}"/>
    <cellStyle name="パーセント 2 2" xfId="59" xr:uid="{00000000-0005-0000-0000-0000C8030000}"/>
    <cellStyle name="パーセント 2 2 2" xfId="1065" xr:uid="{00000000-0005-0000-0000-0000C9030000}"/>
    <cellStyle name="パーセント 2 2 3" xfId="1064" xr:uid="{00000000-0005-0000-0000-0000CA030000}"/>
    <cellStyle name="パーセント 2 3" xfId="60" xr:uid="{00000000-0005-0000-0000-0000CB030000}"/>
    <cellStyle name="パーセント 2 3 2" xfId="1067" xr:uid="{00000000-0005-0000-0000-0000CC030000}"/>
    <cellStyle name="パーセント 2 3 3" xfId="1066" xr:uid="{00000000-0005-0000-0000-0000CD030000}"/>
    <cellStyle name="パーセント 2 4" xfId="1068" xr:uid="{00000000-0005-0000-0000-0000CE030000}"/>
    <cellStyle name="パーセント 2 4 2" xfId="1069" xr:uid="{00000000-0005-0000-0000-0000CF030000}"/>
    <cellStyle name="パーセント 2 5" xfId="1070" xr:uid="{00000000-0005-0000-0000-0000D0030000}"/>
    <cellStyle name="パーセント 2 5 2" xfId="1071" xr:uid="{00000000-0005-0000-0000-0000D1030000}"/>
    <cellStyle name="パーセント 2 6" xfId="1072" xr:uid="{00000000-0005-0000-0000-0000D2030000}"/>
    <cellStyle name="パーセント 2 6 2" xfId="1073" xr:uid="{00000000-0005-0000-0000-0000D3030000}"/>
    <cellStyle name="パーセント 2 7" xfId="1074" xr:uid="{00000000-0005-0000-0000-0000D4030000}"/>
    <cellStyle name="パーセント 2 8" xfId="1075" xr:uid="{00000000-0005-0000-0000-0000D5030000}"/>
    <cellStyle name="パーセント 2 9" xfId="1076" xr:uid="{00000000-0005-0000-0000-0000D6030000}"/>
    <cellStyle name="ハイパーリンク" xfId="2" builtinId="8"/>
    <cellStyle name="ハイパーリンク 2" xfId="122" xr:uid="{00000000-0005-0000-0000-0000D8030000}"/>
    <cellStyle name="メモ 2" xfId="33" xr:uid="{00000000-0005-0000-0000-0000D9030000}"/>
    <cellStyle name="メモ 2 2" xfId="1078" xr:uid="{00000000-0005-0000-0000-0000DA030000}"/>
    <cellStyle name="メモ 2 3" xfId="1077" xr:uid="{00000000-0005-0000-0000-0000DB030000}"/>
    <cellStyle name="メモ 3" xfId="1079" xr:uid="{00000000-0005-0000-0000-0000DC030000}"/>
    <cellStyle name="メモ 3 2" xfId="1080" xr:uid="{00000000-0005-0000-0000-0000DD030000}"/>
    <cellStyle name="メモ 4" xfId="1081" xr:uid="{00000000-0005-0000-0000-0000DE030000}"/>
    <cellStyle name="メモ 4 2" xfId="1082" xr:uid="{00000000-0005-0000-0000-0000DF030000}"/>
    <cellStyle name="メモ 5" xfId="1083" xr:uid="{00000000-0005-0000-0000-0000E0030000}"/>
    <cellStyle name="メモ 5 2" xfId="1084" xr:uid="{00000000-0005-0000-0000-0000E1030000}"/>
    <cellStyle name="リンク セル 2" xfId="34" xr:uid="{00000000-0005-0000-0000-0000E2030000}"/>
    <cellStyle name="リンク セル 2 2" xfId="1086" xr:uid="{00000000-0005-0000-0000-0000E3030000}"/>
    <cellStyle name="リンク セル 2 3" xfId="1085" xr:uid="{00000000-0005-0000-0000-0000E4030000}"/>
    <cellStyle name="リンク セル 3" xfId="1087" xr:uid="{00000000-0005-0000-0000-0000E5030000}"/>
    <cellStyle name="リンク セル 3 2" xfId="1088" xr:uid="{00000000-0005-0000-0000-0000E6030000}"/>
    <cellStyle name="リンク セル 4" xfId="1089" xr:uid="{00000000-0005-0000-0000-0000E7030000}"/>
    <cellStyle name="リンク セル 4 2" xfId="1090" xr:uid="{00000000-0005-0000-0000-0000E8030000}"/>
    <cellStyle name="リンク セル 5" xfId="1091" xr:uid="{00000000-0005-0000-0000-0000E9030000}"/>
    <cellStyle name="リンク セル 5 2" xfId="1092" xr:uid="{00000000-0005-0000-0000-0000EA030000}"/>
    <cellStyle name="悪い 2" xfId="35" xr:uid="{00000000-0005-0000-0000-0000EB030000}"/>
    <cellStyle name="悪い 2 2" xfId="1094" xr:uid="{00000000-0005-0000-0000-0000EC030000}"/>
    <cellStyle name="悪い 2 3" xfId="1093" xr:uid="{00000000-0005-0000-0000-0000ED030000}"/>
    <cellStyle name="悪い 3" xfId="1095" xr:uid="{00000000-0005-0000-0000-0000EE030000}"/>
    <cellStyle name="悪い 3 2" xfId="1096" xr:uid="{00000000-0005-0000-0000-0000EF030000}"/>
    <cellStyle name="悪い 4" xfId="1097" xr:uid="{00000000-0005-0000-0000-0000F0030000}"/>
    <cellStyle name="悪い 4 2" xfId="1098" xr:uid="{00000000-0005-0000-0000-0000F1030000}"/>
    <cellStyle name="悪い 5" xfId="1099" xr:uid="{00000000-0005-0000-0000-0000F2030000}"/>
    <cellStyle name="悪い 5 2" xfId="1100" xr:uid="{00000000-0005-0000-0000-0000F3030000}"/>
    <cellStyle name="計算 2" xfId="36" xr:uid="{00000000-0005-0000-0000-0000F4030000}"/>
    <cellStyle name="計算 2 2" xfId="1102" xr:uid="{00000000-0005-0000-0000-0000F5030000}"/>
    <cellStyle name="計算 2 3" xfId="1101" xr:uid="{00000000-0005-0000-0000-0000F6030000}"/>
    <cellStyle name="計算 3" xfId="1103" xr:uid="{00000000-0005-0000-0000-0000F7030000}"/>
    <cellStyle name="計算 3 2" xfId="1104" xr:uid="{00000000-0005-0000-0000-0000F8030000}"/>
    <cellStyle name="計算 4" xfId="1105" xr:uid="{00000000-0005-0000-0000-0000F9030000}"/>
    <cellStyle name="計算 4 2" xfId="1106" xr:uid="{00000000-0005-0000-0000-0000FA030000}"/>
    <cellStyle name="計算 5" xfId="1107" xr:uid="{00000000-0005-0000-0000-0000FB030000}"/>
    <cellStyle name="計算 5 2" xfId="1108" xr:uid="{00000000-0005-0000-0000-0000FC030000}"/>
    <cellStyle name="警告文 2" xfId="37" xr:uid="{00000000-0005-0000-0000-0000FD030000}"/>
    <cellStyle name="警告文 2 2" xfId="1110" xr:uid="{00000000-0005-0000-0000-0000FE030000}"/>
    <cellStyle name="警告文 2 3" xfId="1109" xr:uid="{00000000-0005-0000-0000-0000FF030000}"/>
    <cellStyle name="警告文 3" xfId="1111" xr:uid="{00000000-0005-0000-0000-000000040000}"/>
    <cellStyle name="警告文 3 2" xfId="1112" xr:uid="{00000000-0005-0000-0000-000001040000}"/>
    <cellStyle name="警告文 4" xfId="1113" xr:uid="{00000000-0005-0000-0000-000002040000}"/>
    <cellStyle name="警告文 4 2" xfId="1114" xr:uid="{00000000-0005-0000-0000-000003040000}"/>
    <cellStyle name="警告文 5" xfId="1115" xr:uid="{00000000-0005-0000-0000-000004040000}"/>
    <cellStyle name="警告文 5 2" xfId="1116" xr:uid="{00000000-0005-0000-0000-000005040000}"/>
    <cellStyle name="桁区切り 2" xfId="38" xr:uid="{00000000-0005-0000-0000-000006040000}"/>
    <cellStyle name="桁区切り 2 2" xfId="1118" xr:uid="{00000000-0005-0000-0000-000007040000}"/>
    <cellStyle name="桁区切り 2 3" xfId="1119" xr:uid="{00000000-0005-0000-0000-000008040000}"/>
    <cellStyle name="桁区切り 2 4" xfId="1120" xr:uid="{00000000-0005-0000-0000-000009040000}"/>
    <cellStyle name="桁区切り 2 5" xfId="1121" xr:uid="{00000000-0005-0000-0000-00000A040000}"/>
    <cellStyle name="桁区切り 2 6" xfId="1122" xr:uid="{00000000-0005-0000-0000-00000B040000}"/>
    <cellStyle name="桁区切り 2 7" xfId="1123" xr:uid="{00000000-0005-0000-0000-00000C040000}"/>
    <cellStyle name="桁区切り 2 8" xfId="1117" xr:uid="{00000000-0005-0000-0000-00000D040000}"/>
    <cellStyle name="桁区切り 3" xfId="1124" xr:uid="{00000000-0005-0000-0000-00000E040000}"/>
    <cellStyle name="見出し 1 2" xfId="39" xr:uid="{00000000-0005-0000-0000-00000F040000}"/>
    <cellStyle name="見出し 1 2 2" xfId="1125" xr:uid="{00000000-0005-0000-0000-000010040000}"/>
    <cellStyle name="見出し 1 3" xfId="1126" xr:uid="{00000000-0005-0000-0000-000011040000}"/>
    <cellStyle name="見出し 1 3 2" xfId="1127" xr:uid="{00000000-0005-0000-0000-000012040000}"/>
    <cellStyle name="見出し 1 4" xfId="1128" xr:uid="{00000000-0005-0000-0000-000013040000}"/>
    <cellStyle name="見出し 1 4 2" xfId="1129" xr:uid="{00000000-0005-0000-0000-000014040000}"/>
    <cellStyle name="見出し 1 5" xfId="1130" xr:uid="{00000000-0005-0000-0000-000015040000}"/>
    <cellStyle name="見出し 2 2" xfId="40" xr:uid="{00000000-0005-0000-0000-000016040000}"/>
    <cellStyle name="見出し 2 2 2" xfId="1131" xr:uid="{00000000-0005-0000-0000-000017040000}"/>
    <cellStyle name="見出し 2 3" xfId="1132" xr:uid="{00000000-0005-0000-0000-000018040000}"/>
    <cellStyle name="見出し 2 3 2" xfId="1133" xr:uid="{00000000-0005-0000-0000-000019040000}"/>
    <cellStyle name="見出し 2 4" xfId="1134" xr:uid="{00000000-0005-0000-0000-00001A040000}"/>
    <cellStyle name="見出し 2 4 2" xfId="1135" xr:uid="{00000000-0005-0000-0000-00001B040000}"/>
    <cellStyle name="見出し 2 5" xfId="1136" xr:uid="{00000000-0005-0000-0000-00001C040000}"/>
    <cellStyle name="見出し 3 2" xfId="41" xr:uid="{00000000-0005-0000-0000-00001D040000}"/>
    <cellStyle name="見出し 3 2 2" xfId="1137" xr:uid="{00000000-0005-0000-0000-00001E040000}"/>
    <cellStyle name="見出し 3 3" xfId="1138" xr:uid="{00000000-0005-0000-0000-00001F040000}"/>
    <cellStyle name="見出し 3 3 2" xfId="1139" xr:uid="{00000000-0005-0000-0000-000020040000}"/>
    <cellStyle name="見出し 3 4" xfId="1140" xr:uid="{00000000-0005-0000-0000-000021040000}"/>
    <cellStyle name="見出し 3 4 2" xfId="1141" xr:uid="{00000000-0005-0000-0000-000022040000}"/>
    <cellStyle name="見出し 3 5" xfId="1142" xr:uid="{00000000-0005-0000-0000-000023040000}"/>
    <cellStyle name="見出し 4 2" xfId="42" xr:uid="{00000000-0005-0000-0000-000024040000}"/>
    <cellStyle name="見出し 4 2 2" xfId="1143" xr:uid="{00000000-0005-0000-0000-000025040000}"/>
    <cellStyle name="見出し 4 3" xfId="1144" xr:uid="{00000000-0005-0000-0000-000026040000}"/>
    <cellStyle name="見出し 4 3 2" xfId="1145" xr:uid="{00000000-0005-0000-0000-000027040000}"/>
    <cellStyle name="見出し 4 4" xfId="1146" xr:uid="{00000000-0005-0000-0000-000028040000}"/>
    <cellStyle name="見出し 4 4 2" xfId="1147" xr:uid="{00000000-0005-0000-0000-000029040000}"/>
    <cellStyle name="見出し 4 5" xfId="1148" xr:uid="{00000000-0005-0000-0000-00002A040000}"/>
    <cellStyle name="集計 10" xfId="1149" xr:uid="{00000000-0005-0000-0000-00002B040000}"/>
    <cellStyle name="集計 2" xfId="43" xr:uid="{00000000-0005-0000-0000-00002C040000}"/>
    <cellStyle name="集計 2 10" xfId="1151" xr:uid="{00000000-0005-0000-0000-00002D040000}"/>
    <cellStyle name="集計 2 11" xfId="1150" xr:uid="{00000000-0005-0000-0000-00002E040000}"/>
    <cellStyle name="集計 2 2" xfId="1152" xr:uid="{00000000-0005-0000-0000-00002F040000}"/>
    <cellStyle name="集計 2 2 2" xfId="1153" xr:uid="{00000000-0005-0000-0000-000030040000}"/>
    <cellStyle name="集計 2 3" xfId="1154" xr:uid="{00000000-0005-0000-0000-000031040000}"/>
    <cellStyle name="集計 2 3 2" xfId="1155" xr:uid="{00000000-0005-0000-0000-000032040000}"/>
    <cellStyle name="集計 2 4" xfId="1156" xr:uid="{00000000-0005-0000-0000-000033040000}"/>
    <cellStyle name="集計 2 4 2" xfId="1157" xr:uid="{00000000-0005-0000-0000-000034040000}"/>
    <cellStyle name="集計 2 5" xfId="1158" xr:uid="{00000000-0005-0000-0000-000035040000}"/>
    <cellStyle name="集計 2 5 2" xfId="1159" xr:uid="{00000000-0005-0000-0000-000036040000}"/>
    <cellStyle name="集計 2 6" xfId="1160" xr:uid="{00000000-0005-0000-0000-000037040000}"/>
    <cellStyle name="集計 2 6 2" xfId="1161" xr:uid="{00000000-0005-0000-0000-000038040000}"/>
    <cellStyle name="集計 2 7" xfId="1162" xr:uid="{00000000-0005-0000-0000-000039040000}"/>
    <cellStyle name="集計 2 7 2" xfId="1163" xr:uid="{00000000-0005-0000-0000-00003A040000}"/>
    <cellStyle name="集計 2 8" xfId="1164" xr:uid="{00000000-0005-0000-0000-00003B040000}"/>
    <cellStyle name="集計 2 8 2" xfId="1165" xr:uid="{00000000-0005-0000-0000-00003C040000}"/>
    <cellStyle name="集計 2 9" xfId="1166" xr:uid="{00000000-0005-0000-0000-00003D040000}"/>
    <cellStyle name="集計 2 9 2" xfId="1167" xr:uid="{00000000-0005-0000-0000-00003E040000}"/>
    <cellStyle name="集計 2_Apply_Change" xfId="1168" xr:uid="{00000000-0005-0000-0000-00003F040000}"/>
    <cellStyle name="集計 3" xfId="1169" xr:uid="{00000000-0005-0000-0000-000040040000}"/>
    <cellStyle name="集計 3 2" xfId="1170" xr:uid="{00000000-0005-0000-0000-000041040000}"/>
    <cellStyle name="集計 3 2 2" xfId="1171" xr:uid="{00000000-0005-0000-0000-000042040000}"/>
    <cellStyle name="集計 3 2 3" xfId="1172" xr:uid="{00000000-0005-0000-0000-000043040000}"/>
    <cellStyle name="集計 3 3" xfId="1173" xr:uid="{00000000-0005-0000-0000-000044040000}"/>
    <cellStyle name="集計 3 3 2" xfId="1174" xr:uid="{00000000-0005-0000-0000-000045040000}"/>
    <cellStyle name="集計 3 4" xfId="1175" xr:uid="{00000000-0005-0000-0000-000046040000}"/>
    <cellStyle name="集計 3 4 2" xfId="1176" xr:uid="{00000000-0005-0000-0000-000047040000}"/>
    <cellStyle name="集計 3 5" xfId="1177" xr:uid="{00000000-0005-0000-0000-000048040000}"/>
    <cellStyle name="集計 3 5 2" xfId="1178" xr:uid="{00000000-0005-0000-0000-000049040000}"/>
    <cellStyle name="集計 3 6" xfId="1179" xr:uid="{00000000-0005-0000-0000-00004A040000}"/>
    <cellStyle name="集計 3 6 2" xfId="1180" xr:uid="{00000000-0005-0000-0000-00004B040000}"/>
    <cellStyle name="集計 3 7" xfId="1181" xr:uid="{00000000-0005-0000-0000-00004C040000}"/>
    <cellStyle name="集計 3_Data" xfId="1182" xr:uid="{00000000-0005-0000-0000-00004D040000}"/>
    <cellStyle name="集計 4" xfId="1183" xr:uid="{00000000-0005-0000-0000-00004E040000}"/>
    <cellStyle name="集計 4 2" xfId="1184" xr:uid="{00000000-0005-0000-0000-00004F040000}"/>
    <cellStyle name="集計 4 2 2" xfId="1185" xr:uid="{00000000-0005-0000-0000-000050040000}"/>
    <cellStyle name="集計 4 2 3" xfId="1186" xr:uid="{00000000-0005-0000-0000-000051040000}"/>
    <cellStyle name="集計 4 3" xfId="1187" xr:uid="{00000000-0005-0000-0000-000052040000}"/>
    <cellStyle name="集計 4 3 2" xfId="1188" xr:uid="{00000000-0005-0000-0000-000053040000}"/>
    <cellStyle name="集計 4 4" xfId="1189" xr:uid="{00000000-0005-0000-0000-000054040000}"/>
    <cellStyle name="集計 4 4 2" xfId="1190" xr:uid="{00000000-0005-0000-0000-000055040000}"/>
    <cellStyle name="集計 4 5" xfId="1191" xr:uid="{00000000-0005-0000-0000-000056040000}"/>
    <cellStyle name="集計 4 5 2" xfId="1192" xr:uid="{00000000-0005-0000-0000-000057040000}"/>
    <cellStyle name="集計 4 6" xfId="1193" xr:uid="{00000000-0005-0000-0000-000058040000}"/>
    <cellStyle name="集計 4 6 2" xfId="1194" xr:uid="{00000000-0005-0000-0000-000059040000}"/>
    <cellStyle name="集計 4 7" xfId="1195" xr:uid="{00000000-0005-0000-0000-00005A040000}"/>
    <cellStyle name="集計 4_Data" xfId="1196" xr:uid="{00000000-0005-0000-0000-00005B040000}"/>
    <cellStyle name="集計 5" xfId="1197" xr:uid="{00000000-0005-0000-0000-00005C040000}"/>
    <cellStyle name="集計 5 2" xfId="1198" xr:uid="{00000000-0005-0000-0000-00005D040000}"/>
    <cellStyle name="集計 6" xfId="1199" xr:uid="{00000000-0005-0000-0000-00005E040000}"/>
    <cellStyle name="集計 6 2" xfId="1200" xr:uid="{00000000-0005-0000-0000-00005F040000}"/>
    <cellStyle name="集計 7" xfId="1201" xr:uid="{00000000-0005-0000-0000-000060040000}"/>
    <cellStyle name="集計 7 2" xfId="1202" xr:uid="{00000000-0005-0000-0000-000061040000}"/>
    <cellStyle name="集計 8" xfId="1203" xr:uid="{00000000-0005-0000-0000-000062040000}"/>
    <cellStyle name="集計 8 2" xfId="1204" xr:uid="{00000000-0005-0000-0000-000063040000}"/>
    <cellStyle name="集計 9" xfId="1205" xr:uid="{00000000-0005-0000-0000-000064040000}"/>
    <cellStyle name="出力 2" xfId="44" xr:uid="{00000000-0005-0000-0000-000065040000}"/>
    <cellStyle name="出力 2 2" xfId="1207" xr:uid="{00000000-0005-0000-0000-000066040000}"/>
    <cellStyle name="出力 2 3" xfId="1206" xr:uid="{00000000-0005-0000-0000-000067040000}"/>
    <cellStyle name="出力 3" xfId="1208" xr:uid="{00000000-0005-0000-0000-000068040000}"/>
    <cellStyle name="出力 3 2" xfId="1209" xr:uid="{00000000-0005-0000-0000-000069040000}"/>
    <cellStyle name="出力 4" xfId="1210" xr:uid="{00000000-0005-0000-0000-00006A040000}"/>
    <cellStyle name="出力 4 2" xfId="1211" xr:uid="{00000000-0005-0000-0000-00006B040000}"/>
    <cellStyle name="出力 5" xfId="1212" xr:uid="{00000000-0005-0000-0000-00006C040000}"/>
    <cellStyle name="出力 5 2" xfId="1213" xr:uid="{00000000-0005-0000-0000-00006D040000}"/>
    <cellStyle name="説明文 2" xfId="45" xr:uid="{00000000-0005-0000-0000-00006E040000}"/>
    <cellStyle name="説明文 2 2" xfId="1215" xr:uid="{00000000-0005-0000-0000-00006F040000}"/>
    <cellStyle name="説明文 2 3" xfId="1214" xr:uid="{00000000-0005-0000-0000-000070040000}"/>
    <cellStyle name="説明文 3" xfId="1216" xr:uid="{00000000-0005-0000-0000-000071040000}"/>
    <cellStyle name="説明文 3 2" xfId="1217" xr:uid="{00000000-0005-0000-0000-000072040000}"/>
    <cellStyle name="説明文 4" xfId="1218" xr:uid="{00000000-0005-0000-0000-000073040000}"/>
    <cellStyle name="説明文 4 2" xfId="1219" xr:uid="{00000000-0005-0000-0000-000074040000}"/>
    <cellStyle name="説明文 5" xfId="1220" xr:uid="{00000000-0005-0000-0000-000075040000}"/>
    <cellStyle name="説明文 5 2" xfId="1221" xr:uid="{00000000-0005-0000-0000-000076040000}"/>
    <cellStyle name="通貨 2" xfId="47" xr:uid="{00000000-0005-0000-0000-000077040000}"/>
    <cellStyle name="通貨 2 2" xfId="61" xr:uid="{00000000-0005-0000-0000-000078040000}"/>
    <cellStyle name="通貨 2 2 2" xfId="62" xr:uid="{00000000-0005-0000-0000-000079040000}"/>
    <cellStyle name="通貨 2 2 3" xfId="63" xr:uid="{00000000-0005-0000-0000-00007A040000}"/>
    <cellStyle name="通貨 2 2 4" xfId="1223" xr:uid="{00000000-0005-0000-0000-00007B040000}"/>
    <cellStyle name="通貨 2 3" xfId="64" xr:uid="{00000000-0005-0000-0000-00007C040000}"/>
    <cellStyle name="通貨 2 3 2" xfId="1224" xr:uid="{00000000-0005-0000-0000-00007D040000}"/>
    <cellStyle name="通貨 2 4" xfId="65" xr:uid="{00000000-0005-0000-0000-00007E040000}"/>
    <cellStyle name="通貨 2 5" xfId="66" xr:uid="{00000000-0005-0000-0000-00007F040000}"/>
    <cellStyle name="通貨 2 6" xfId="67" xr:uid="{00000000-0005-0000-0000-000080040000}"/>
    <cellStyle name="通貨 2 7" xfId="1222" xr:uid="{00000000-0005-0000-0000-000081040000}"/>
    <cellStyle name="通貨 3" xfId="46" xr:uid="{00000000-0005-0000-0000-000082040000}"/>
    <cellStyle name="通貨 3 2" xfId="68" xr:uid="{00000000-0005-0000-0000-000083040000}"/>
    <cellStyle name="通貨 3 2 2" xfId="1226" xr:uid="{00000000-0005-0000-0000-000084040000}"/>
    <cellStyle name="通貨 3 3" xfId="1225" xr:uid="{00000000-0005-0000-0000-000085040000}"/>
    <cellStyle name="入力 2" xfId="48" xr:uid="{00000000-0005-0000-0000-000086040000}"/>
    <cellStyle name="入力 2 2" xfId="1228" xr:uid="{00000000-0005-0000-0000-000087040000}"/>
    <cellStyle name="入力 2 3" xfId="1227" xr:uid="{00000000-0005-0000-0000-000088040000}"/>
    <cellStyle name="入力 3" xfId="1229" xr:uid="{00000000-0005-0000-0000-000089040000}"/>
    <cellStyle name="入力 3 2" xfId="1230" xr:uid="{00000000-0005-0000-0000-00008A040000}"/>
    <cellStyle name="入力 4" xfId="1231" xr:uid="{00000000-0005-0000-0000-00008B040000}"/>
    <cellStyle name="入力 4 2" xfId="1232" xr:uid="{00000000-0005-0000-0000-00008C040000}"/>
    <cellStyle name="入力 5" xfId="1233" xr:uid="{00000000-0005-0000-0000-00008D040000}"/>
    <cellStyle name="入力 5 2" xfId="1234" xr:uid="{00000000-0005-0000-0000-00008E040000}"/>
    <cellStyle name="標準" xfId="0" builtinId="0"/>
    <cellStyle name="標準 10" xfId="69" xr:uid="{00000000-0005-0000-0000-000090040000}"/>
    <cellStyle name="標準 10 2" xfId="1236" xr:uid="{00000000-0005-0000-0000-000091040000}"/>
    <cellStyle name="標準 10 2 2" xfId="1237" xr:uid="{00000000-0005-0000-0000-000092040000}"/>
    <cellStyle name="標準 10 2 3" xfId="1238" xr:uid="{00000000-0005-0000-0000-000093040000}"/>
    <cellStyle name="標準 10 3" xfId="1235" xr:uid="{00000000-0005-0000-0000-000094040000}"/>
    <cellStyle name="標準 10_dSTART" xfId="1239" xr:uid="{00000000-0005-0000-0000-000095040000}"/>
    <cellStyle name="標準 11" xfId="70" xr:uid="{00000000-0005-0000-0000-000096040000}"/>
    <cellStyle name="標準 11 2" xfId="1241" xr:uid="{00000000-0005-0000-0000-000097040000}"/>
    <cellStyle name="標準 11 2 2" xfId="1242" xr:uid="{00000000-0005-0000-0000-000098040000}"/>
    <cellStyle name="標準 11 3" xfId="1243" xr:uid="{00000000-0005-0000-0000-000099040000}"/>
    <cellStyle name="標準 11 4" xfId="1240" xr:uid="{00000000-0005-0000-0000-00009A040000}"/>
    <cellStyle name="標準 12" xfId="71" xr:uid="{00000000-0005-0000-0000-00009B040000}"/>
    <cellStyle name="標準 12 2" xfId="1245" xr:uid="{00000000-0005-0000-0000-00009C040000}"/>
    <cellStyle name="標準 12 3" xfId="1244" xr:uid="{00000000-0005-0000-0000-00009D040000}"/>
    <cellStyle name="標準 13" xfId="72" xr:uid="{00000000-0005-0000-0000-00009E040000}"/>
    <cellStyle name="標準 14" xfId="73" xr:uid="{00000000-0005-0000-0000-00009F040000}"/>
    <cellStyle name="標準 15" xfId="74" xr:uid="{00000000-0005-0000-0000-0000A0040000}"/>
    <cellStyle name="標準 15 2" xfId="1246" xr:uid="{00000000-0005-0000-0000-0000A1040000}"/>
    <cellStyle name="標準 16" xfId="75" xr:uid="{00000000-0005-0000-0000-0000A2040000}"/>
    <cellStyle name="標準 17" xfId="76" xr:uid="{00000000-0005-0000-0000-0000A3040000}"/>
    <cellStyle name="標準 18" xfId="77" xr:uid="{00000000-0005-0000-0000-0000A4040000}"/>
    <cellStyle name="標準 19" xfId="78" xr:uid="{00000000-0005-0000-0000-0000A5040000}"/>
    <cellStyle name="標準 2" xfId="1" xr:uid="{00000000-0005-0000-0000-0000A6040000}"/>
    <cellStyle name="標準 2 10" xfId="1248" xr:uid="{00000000-0005-0000-0000-0000A7040000}"/>
    <cellStyle name="標準 2 10 2" xfId="1249" xr:uid="{00000000-0005-0000-0000-0000A8040000}"/>
    <cellStyle name="標準 2 10 2 2" xfId="1250" xr:uid="{00000000-0005-0000-0000-0000A9040000}"/>
    <cellStyle name="標準 2 11" xfId="1251" xr:uid="{00000000-0005-0000-0000-0000AA040000}"/>
    <cellStyle name="標準 2 11 2" xfId="1252" xr:uid="{00000000-0005-0000-0000-0000AB040000}"/>
    <cellStyle name="標準 2 12" xfId="1253" xr:uid="{00000000-0005-0000-0000-0000AC040000}"/>
    <cellStyle name="標準 2 12 2" xfId="1254" xr:uid="{00000000-0005-0000-0000-0000AD040000}"/>
    <cellStyle name="標準 2 13" xfId="1255" xr:uid="{00000000-0005-0000-0000-0000AE040000}"/>
    <cellStyle name="標準 2 14" xfId="1256" xr:uid="{00000000-0005-0000-0000-0000AF040000}"/>
    <cellStyle name="標準 2 15" xfId="1247" xr:uid="{00000000-0005-0000-0000-0000B0040000}"/>
    <cellStyle name="標準 2 2" xfId="50" xr:uid="{00000000-0005-0000-0000-0000B1040000}"/>
    <cellStyle name="標準 2 2 2" xfId="1258" xr:uid="{00000000-0005-0000-0000-0000B2040000}"/>
    <cellStyle name="標準 2 2 2 2" xfId="1259" xr:uid="{00000000-0005-0000-0000-0000B3040000}"/>
    <cellStyle name="標準 2 2 2 2 2" xfId="1260" xr:uid="{00000000-0005-0000-0000-0000B4040000}"/>
    <cellStyle name="標準 2 2 2 3" xfId="1261" xr:uid="{00000000-0005-0000-0000-0000B5040000}"/>
    <cellStyle name="標準 2 2 2 3 2" xfId="1262" xr:uid="{00000000-0005-0000-0000-0000B6040000}"/>
    <cellStyle name="標準 2 2 2 4" xfId="1263" xr:uid="{00000000-0005-0000-0000-0000B7040000}"/>
    <cellStyle name="標準 2 2 2 4 2" xfId="1264" xr:uid="{00000000-0005-0000-0000-0000B8040000}"/>
    <cellStyle name="標準 2 2 2 5" xfId="1265" xr:uid="{00000000-0005-0000-0000-0000B9040000}"/>
    <cellStyle name="標準 2 2 2 5 2" xfId="1266" xr:uid="{00000000-0005-0000-0000-0000BA040000}"/>
    <cellStyle name="標準 2 2 2 6" xfId="1267" xr:uid="{00000000-0005-0000-0000-0000BB040000}"/>
    <cellStyle name="標準 2 2 2 6 2" xfId="1268" xr:uid="{00000000-0005-0000-0000-0000BC040000}"/>
    <cellStyle name="標準 2 2 2 7" xfId="1269" xr:uid="{00000000-0005-0000-0000-0000BD040000}"/>
    <cellStyle name="標準 2 2 2_16_依頼_ERI" xfId="1270" xr:uid="{00000000-0005-0000-0000-0000BE040000}"/>
    <cellStyle name="標準 2 2 3" xfId="1271" xr:uid="{00000000-0005-0000-0000-0000BF040000}"/>
    <cellStyle name="標準 2 2 3 2" xfId="1272" xr:uid="{00000000-0005-0000-0000-0000C0040000}"/>
    <cellStyle name="標準 2 2 3 2 2" xfId="1273" xr:uid="{00000000-0005-0000-0000-0000C1040000}"/>
    <cellStyle name="標準 2 2 3 3" xfId="1274" xr:uid="{00000000-0005-0000-0000-0000C2040000}"/>
    <cellStyle name="標準 2 2 3 3 2" xfId="1275" xr:uid="{00000000-0005-0000-0000-0000C3040000}"/>
    <cellStyle name="標準 2 2 3 4" xfId="1276" xr:uid="{00000000-0005-0000-0000-0000C4040000}"/>
    <cellStyle name="標準 2 2 3 4 2" xfId="1277" xr:uid="{00000000-0005-0000-0000-0000C5040000}"/>
    <cellStyle name="標準 2 2 3 5" xfId="1278" xr:uid="{00000000-0005-0000-0000-0000C6040000}"/>
    <cellStyle name="標準 2 2 3 5 2" xfId="1279" xr:uid="{00000000-0005-0000-0000-0000C7040000}"/>
    <cellStyle name="標準 2 2 3 6" xfId="1280" xr:uid="{00000000-0005-0000-0000-0000C8040000}"/>
    <cellStyle name="標準 2 2 3 6 2" xfId="1281" xr:uid="{00000000-0005-0000-0000-0000C9040000}"/>
    <cellStyle name="標準 2 2 3 7" xfId="1282" xr:uid="{00000000-0005-0000-0000-0000CA040000}"/>
    <cellStyle name="標準 2 2 3_16_依頼_ERI" xfId="1283" xr:uid="{00000000-0005-0000-0000-0000CB040000}"/>
    <cellStyle name="標準 2 2 4" xfId="1284" xr:uid="{00000000-0005-0000-0000-0000CC040000}"/>
    <cellStyle name="標準 2 2 4 2" xfId="1285" xr:uid="{00000000-0005-0000-0000-0000CD040000}"/>
    <cellStyle name="標準 2 2 5" xfId="1286" xr:uid="{00000000-0005-0000-0000-0000CE040000}"/>
    <cellStyle name="標準 2 2 5 2" xfId="1287" xr:uid="{00000000-0005-0000-0000-0000CF040000}"/>
    <cellStyle name="標準 2 2 6" xfId="1288" xr:uid="{00000000-0005-0000-0000-0000D0040000}"/>
    <cellStyle name="標準 2 2 7" xfId="1289" xr:uid="{00000000-0005-0000-0000-0000D1040000}"/>
    <cellStyle name="標準 2 2 8" xfId="1290" xr:uid="{00000000-0005-0000-0000-0000D2040000}"/>
    <cellStyle name="標準 2 2 9" xfId="1257" xr:uid="{00000000-0005-0000-0000-0000D3040000}"/>
    <cellStyle name="標準 2 2_(社内通知）" xfId="1291" xr:uid="{00000000-0005-0000-0000-0000D4040000}"/>
    <cellStyle name="標準 2 3" xfId="51" xr:uid="{00000000-0005-0000-0000-0000D5040000}"/>
    <cellStyle name="標準 2 3 2" xfId="79" xr:uid="{00000000-0005-0000-0000-0000D6040000}"/>
    <cellStyle name="標準 2 3 2 2" xfId="1293" xr:uid="{00000000-0005-0000-0000-0000D7040000}"/>
    <cellStyle name="標準 2 3 2 3" xfId="1292" xr:uid="{00000000-0005-0000-0000-0000D8040000}"/>
    <cellStyle name="標準 2 3 3" xfId="1294" xr:uid="{00000000-0005-0000-0000-0000D9040000}"/>
    <cellStyle name="標準 2 3 4" xfId="1295" xr:uid="{00000000-0005-0000-0000-0000DA040000}"/>
    <cellStyle name="標準 2 3 5" xfId="1296" xr:uid="{00000000-0005-0000-0000-0000DB040000}"/>
    <cellStyle name="標準 2 4" xfId="49" xr:uid="{00000000-0005-0000-0000-0000DC040000}"/>
    <cellStyle name="標準 2 4 2" xfId="1298" xr:uid="{00000000-0005-0000-0000-0000DD040000}"/>
    <cellStyle name="標準 2 4 2 2" xfId="1299" xr:uid="{00000000-0005-0000-0000-0000DE040000}"/>
    <cellStyle name="標準 2 4 3" xfId="1300" xr:uid="{00000000-0005-0000-0000-0000DF040000}"/>
    <cellStyle name="標準 2 4 3 2" xfId="1301" xr:uid="{00000000-0005-0000-0000-0000E0040000}"/>
    <cellStyle name="標準 2 4 4" xfId="1302" xr:uid="{00000000-0005-0000-0000-0000E1040000}"/>
    <cellStyle name="標準 2 4 4 2" xfId="1303" xr:uid="{00000000-0005-0000-0000-0000E2040000}"/>
    <cellStyle name="標準 2 4 5" xfId="1304" xr:uid="{00000000-0005-0000-0000-0000E3040000}"/>
    <cellStyle name="標準 2 4 5 2" xfId="1305" xr:uid="{00000000-0005-0000-0000-0000E4040000}"/>
    <cellStyle name="標準 2 4 6" xfId="1306" xr:uid="{00000000-0005-0000-0000-0000E5040000}"/>
    <cellStyle name="標準 2 4 6 2" xfId="1307" xr:uid="{00000000-0005-0000-0000-0000E6040000}"/>
    <cellStyle name="標準 2 4 7" xfId="1308" xr:uid="{00000000-0005-0000-0000-0000E7040000}"/>
    <cellStyle name="標準 2 4 8" xfId="1297" xr:uid="{00000000-0005-0000-0000-0000E8040000}"/>
    <cellStyle name="標準 2 4_16_依頼_ERI" xfId="1309" xr:uid="{00000000-0005-0000-0000-0000E9040000}"/>
    <cellStyle name="標準 2 5" xfId="80" xr:uid="{00000000-0005-0000-0000-0000EA040000}"/>
    <cellStyle name="標準 2 5 2" xfId="1311" xr:uid="{00000000-0005-0000-0000-0000EB040000}"/>
    <cellStyle name="標準 2 5 2 2" xfId="1312" xr:uid="{00000000-0005-0000-0000-0000EC040000}"/>
    <cellStyle name="標準 2 5 2 2 2" xfId="1313" xr:uid="{00000000-0005-0000-0000-0000ED040000}"/>
    <cellStyle name="標準 2 5 2 3" xfId="1314" xr:uid="{00000000-0005-0000-0000-0000EE040000}"/>
    <cellStyle name="標準 2 5 3" xfId="1315" xr:uid="{00000000-0005-0000-0000-0000EF040000}"/>
    <cellStyle name="標準 2 5 3 2" xfId="1316" xr:uid="{00000000-0005-0000-0000-0000F0040000}"/>
    <cellStyle name="標準 2 5 3 2 2" xfId="1317" xr:uid="{00000000-0005-0000-0000-0000F1040000}"/>
    <cellStyle name="標準 2 5 3 3" xfId="1318" xr:uid="{00000000-0005-0000-0000-0000F2040000}"/>
    <cellStyle name="標準 2 5 4" xfId="1319" xr:uid="{00000000-0005-0000-0000-0000F3040000}"/>
    <cellStyle name="標準 2 5 4 2" xfId="1320" xr:uid="{00000000-0005-0000-0000-0000F4040000}"/>
    <cellStyle name="標準 2 5 4 2 2" xfId="1321" xr:uid="{00000000-0005-0000-0000-0000F5040000}"/>
    <cellStyle name="標準 2 5 4 3" xfId="1322" xr:uid="{00000000-0005-0000-0000-0000F6040000}"/>
    <cellStyle name="標準 2 5 5" xfId="1323" xr:uid="{00000000-0005-0000-0000-0000F7040000}"/>
    <cellStyle name="標準 2 5 5 2" xfId="1324" xr:uid="{00000000-0005-0000-0000-0000F8040000}"/>
    <cellStyle name="標準 2 5 5 2 2" xfId="1325" xr:uid="{00000000-0005-0000-0000-0000F9040000}"/>
    <cellStyle name="標準 2 5 5 3" xfId="1326" xr:uid="{00000000-0005-0000-0000-0000FA040000}"/>
    <cellStyle name="標準 2 5 6" xfId="1327" xr:uid="{00000000-0005-0000-0000-0000FB040000}"/>
    <cellStyle name="標準 2 5 6 2" xfId="1328" xr:uid="{00000000-0005-0000-0000-0000FC040000}"/>
    <cellStyle name="標準 2 5 7" xfId="1329" xr:uid="{00000000-0005-0000-0000-0000FD040000}"/>
    <cellStyle name="標準 2 5 7 2" xfId="1330" xr:uid="{00000000-0005-0000-0000-0000FE040000}"/>
    <cellStyle name="標準 2 5 8" xfId="1331" xr:uid="{00000000-0005-0000-0000-0000FF040000}"/>
    <cellStyle name="標準 2 5 9" xfId="1310" xr:uid="{00000000-0005-0000-0000-000000050000}"/>
    <cellStyle name="標準 2 5_00PackTEKIHAN_C" xfId="1332" xr:uid="{00000000-0005-0000-0000-000001050000}"/>
    <cellStyle name="標準 2 6" xfId="1333" xr:uid="{00000000-0005-0000-0000-000002050000}"/>
    <cellStyle name="標準 2 6 2" xfId="1334" xr:uid="{00000000-0005-0000-0000-000003050000}"/>
    <cellStyle name="標準 2 7" xfId="1335" xr:uid="{00000000-0005-0000-0000-000004050000}"/>
    <cellStyle name="標準 2 7 2" xfId="1336" xr:uid="{00000000-0005-0000-0000-000005050000}"/>
    <cellStyle name="標準 2 7 2 2" xfId="1337" xr:uid="{00000000-0005-0000-0000-000006050000}"/>
    <cellStyle name="標準 2 7 3" xfId="1338" xr:uid="{00000000-0005-0000-0000-000007050000}"/>
    <cellStyle name="標準 2 8" xfId="1339" xr:uid="{00000000-0005-0000-0000-000008050000}"/>
    <cellStyle name="標準 2 8 2" xfId="1340" xr:uid="{00000000-0005-0000-0000-000009050000}"/>
    <cellStyle name="標準 2 8 2 2" xfId="1341" xr:uid="{00000000-0005-0000-0000-00000A050000}"/>
    <cellStyle name="標準 2 9" xfId="1342" xr:uid="{00000000-0005-0000-0000-00000B050000}"/>
    <cellStyle name="標準 2 9 2" xfId="1343" xr:uid="{00000000-0005-0000-0000-00000C050000}"/>
    <cellStyle name="標準 2 9 2 2" xfId="1344" xr:uid="{00000000-0005-0000-0000-00000D050000}"/>
    <cellStyle name="標準 2_16_依頼_ERI" xfId="1345" xr:uid="{00000000-0005-0000-0000-00000E050000}"/>
    <cellStyle name="標準 20" xfId="81" xr:uid="{00000000-0005-0000-0000-00000F050000}"/>
    <cellStyle name="標準 21" xfId="82" xr:uid="{00000000-0005-0000-0000-000010050000}"/>
    <cellStyle name="標準 22" xfId="83" xr:uid="{00000000-0005-0000-0000-000011050000}"/>
    <cellStyle name="標準 23" xfId="84" xr:uid="{00000000-0005-0000-0000-000012050000}"/>
    <cellStyle name="標準 24" xfId="85" xr:uid="{00000000-0005-0000-0000-000013050000}"/>
    <cellStyle name="標準 25" xfId="86" xr:uid="{00000000-0005-0000-0000-000014050000}"/>
    <cellStyle name="標準 26" xfId="87" xr:uid="{00000000-0005-0000-0000-000015050000}"/>
    <cellStyle name="標準 27" xfId="88" xr:uid="{00000000-0005-0000-0000-000016050000}"/>
    <cellStyle name="標準 28" xfId="89" xr:uid="{00000000-0005-0000-0000-000017050000}"/>
    <cellStyle name="標準 29" xfId="90" xr:uid="{00000000-0005-0000-0000-000018050000}"/>
    <cellStyle name="標準 3" xfId="52" xr:uid="{00000000-0005-0000-0000-000019050000}"/>
    <cellStyle name="標準 3 10" xfId="1346" xr:uid="{00000000-0005-0000-0000-00001A050000}"/>
    <cellStyle name="標準 3 11" xfId="1347" xr:uid="{00000000-0005-0000-0000-00001B050000}"/>
    <cellStyle name="標準 3 2" xfId="56" xr:uid="{00000000-0005-0000-0000-00001C050000}"/>
    <cellStyle name="標準 3 2 2" xfId="1349" xr:uid="{00000000-0005-0000-0000-00001D050000}"/>
    <cellStyle name="標準 3 2 3" xfId="1350" xr:uid="{00000000-0005-0000-0000-00001E050000}"/>
    <cellStyle name="標準 3 2 4" xfId="1348" xr:uid="{00000000-0005-0000-0000-00001F050000}"/>
    <cellStyle name="標準 3 3" xfId="1351" xr:uid="{00000000-0005-0000-0000-000020050000}"/>
    <cellStyle name="標準 3 3 2" xfId="1352" xr:uid="{00000000-0005-0000-0000-000021050000}"/>
    <cellStyle name="標準 3 3 2 2" xfId="1353" xr:uid="{00000000-0005-0000-0000-000022050000}"/>
    <cellStyle name="標準 3 3 3" xfId="1354" xr:uid="{00000000-0005-0000-0000-000023050000}"/>
    <cellStyle name="標準 3 3 3 2" xfId="1355" xr:uid="{00000000-0005-0000-0000-000024050000}"/>
    <cellStyle name="標準 3 3 4" xfId="1356" xr:uid="{00000000-0005-0000-0000-000025050000}"/>
    <cellStyle name="標準 3 3 4 2" xfId="1357" xr:uid="{00000000-0005-0000-0000-000026050000}"/>
    <cellStyle name="標準 3 3 5" xfId="1358" xr:uid="{00000000-0005-0000-0000-000027050000}"/>
    <cellStyle name="標準 3 3 5 2" xfId="1359" xr:uid="{00000000-0005-0000-0000-000028050000}"/>
    <cellStyle name="標準 3 3 6" xfId="1360" xr:uid="{00000000-0005-0000-0000-000029050000}"/>
    <cellStyle name="標準 3 3 6 2" xfId="1361" xr:uid="{00000000-0005-0000-0000-00002A050000}"/>
    <cellStyle name="標準 3 3 7" xfId="1362" xr:uid="{00000000-0005-0000-0000-00002B050000}"/>
    <cellStyle name="標準 3 3_16_依頼_ERI" xfId="1363" xr:uid="{00000000-0005-0000-0000-00002C050000}"/>
    <cellStyle name="標準 3 4" xfId="1364" xr:uid="{00000000-0005-0000-0000-00002D050000}"/>
    <cellStyle name="標準 3 4 2" xfId="1365" xr:uid="{00000000-0005-0000-0000-00002E050000}"/>
    <cellStyle name="標準 3 4 2 2" xfId="1366" xr:uid="{00000000-0005-0000-0000-00002F050000}"/>
    <cellStyle name="標準 3 4 3" xfId="1367" xr:uid="{00000000-0005-0000-0000-000030050000}"/>
    <cellStyle name="標準 3 4 3 2" xfId="1368" xr:uid="{00000000-0005-0000-0000-000031050000}"/>
    <cellStyle name="標準 3 4 4" xfId="1369" xr:uid="{00000000-0005-0000-0000-000032050000}"/>
    <cellStyle name="標準 3 4 4 2" xfId="1370" xr:uid="{00000000-0005-0000-0000-000033050000}"/>
    <cellStyle name="標準 3 4 5" xfId="1371" xr:uid="{00000000-0005-0000-0000-000034050000}"/>
    <cellStyle name="標準 3 4 5 2" xfId="1372" xr:uid="{00000000-0005-0000-0000-000035050000}"/>
    <cellStyle name="標準 3 4 6" xfId="1373" xr:uid="{00000000-0005-0000-0000-000036050000}"/>
    <cellStyle name="標準 3 4 6 2" xfId="1374" xr:uid="{00000000-0005-0000-0000-000037050000}"/>
    <cellStyle name="標準 3 4 7" xfId="1375" xr:uid="{00000000-0005-0000-0000-000038050000}"/>
    <cellStyle name="標準 3 4_16_依頼_ERI" xfId="1376" xr:uid="{00000000-0005-0000-0000-000039050000}"/>
    <cellStyle name="標準 3 5" xfId="1377" xr:uid="{00000000-0005-0000-0000-00003A050000}"/>
    <cellStyle name="標準 3 5 2" xfId="1378" xr:uid="{00000000-0005-0000-0000-00003B050000}"/>
    <cellStyle name="標準 3 5 2 2" xfId="1379" xr:uid="{00000000-0005-0000-0000-00003C050000}"/>
    <cellStyle name="標準 3 5 3" xfId="1380" xr:uid="{00000000-0005-0000-0000-00003D050000}"/>
    <cellStyle name="標準 3 5 3 2" xfId="1381" xr:uid="{00000000-0005-0000-0000-00003E050000}"/>
    <cellStyle name="標準 3 6" xfId="1382" xr:uid="{00000000-0005-0000-0000-00003F050000}"/>
    <cellStyle name="標準 3 6 2" xfId="1383" xr:uid="{00000000-0005-0000-0000-000040050000}"/>
    <cellStyle name="標準 3 7" xfId="1384" xr:uid="{00000000-0005-0000-0000-000041050000}"/>
    <cellStyle name="標準 3 7 2" xfId="1385" xr:uid="{00000000-0005-0000-0000-000042050000}"/>
    <cellStyle name="標準 3 8" xfId="1386" xr:uid="{00000000-0005-0000-0000-000043050000}"/>
    <cellStyle name="標準 3 8 2" xfId="1387" xr:uid="{00000000-0005-0000-0000-000044050000}"/>
    <cellStyle name="標準 3 9" xfId="1388" xr:uid="{00000000-0005-0000-0000-000045050000}"/>
    <cellStyle name="標準 3 9 2" xfId="1389" xr:uid="{00000000-0005-0000-0000-000046050000}"/>
    <cellStyle name="標準 3_(社内通知）" xfId="1390" xr:uid="{00000000-0005-0000-0000-000047050000}"/>
    <cellStyle name="標準 30" xfId="58" xr:uid="{00000000-0005-0000-0000-000048050000}"/>
    <cellStyle name="標準 31" xfId="91" xr:uid="{00000000-0005-0000-0000-000049050000}"/>
    <cellStyle name="標準 32" xfId="92" xr:uid="{00000000-0005-0000-0000-00004A050000}"/>
    <cellStyle name="標準 33" xfId="93" xr:uid="{00000000-0005-0000-0000-00004B050000}"/>
    <cellStyle name="標準 34" xfId="94" xr:uid="{00000000-0005-0000-0000-00004C050000}"/>
    <cellStyle name="標準 35" xfId="95" xr:uid="{00000000-0005-0000-0000-00004D050000}"/>
    <cellStyle name="標準 36" xfId="96" xr:uid="{00000000-0005-0000-0000-00004E050000}"/>
    <cellStyle name="標準 37" xfId="97" xr:uid="{00000000-0005-0000-0000-00004F050000}"/>
    <cellStyle name="標準 38" xfId="98" xr:uid="{00000000-0005-0000-0000-000050050000}"/>
    <cellStyle name="標準 39" xfId="99" xr:uid="{00000000-0005-0000-0000-000051050000}"/>
    <cellStyle name="標準 4" xfId="53" xr:uid="{00000000-0005-0000-0000-000052050000}"/>
    <cellStyle name="標準 4 10" xfId="1391" xr:uid="{00000000-0005-0000-0000-000053050000}"/>
    <cellStyle name="標準 4 2" xfId="100" xr:uid="{00000000-0005-0000-0000-000054050000}"/>
    <cellStyle name="標準 4 2 2" xfId="101" xr:uid="{00000000-0005-0000-0000-000055050000}"/>
    <cellStyle name="標準 4 2 2 2" xfId="1393" xr:uid="{00000000-0005-0000-0000-000056050000}"/>
    <cellStyle name="標準 4 2 3" xfId="1392" xr:uid="{00000000-0005-0000-0000-000057050000}"/>
    <cellStyle name="標準 4 3" xfId="102" xr:uid="{00000000-0005-0000-0000-000058050000}"/>
    <cellStyle name="標準 4 3 2" xfId="1394" xr:uid="{00000000-0005-0000-0000-000059050000}"/>
    <cellStyle name="標準 4 4" xfId="1395" xr:uid="{00000000-0005-0000-0000-00005A050000}"/>
    <cellStyle name="標準 4 4 2" xfId="1396" xr:uid="{00000000-0005-0000-0000-00005B050000}"/>
    <cellStyle name="標準 4 5" xfId="1397" xr:uid="{00000000-0005-0000-0000-00005C050000}"/>
    <cellStyle name="標準 4 5 2" xfId="1398" xr:uid="{00000000-0005-0000-0000-00005D050000}"/>
    <cellStyle name="標準 4 6" xfId="1399" xr:uid="{00000000-0005-0000-0000-00005E050000}"/>
    <cellStyle name="標準 4 6 2" xfId="1400" xr:uid="{00000000-0005-0000-0000-00005F050000}"/>
    <cellStyle name="標準 4 7" xfId="1401" xr:uid="{00000000-0005-0000-0000-000060050000}"/>
    <cellStyle name="標準 4 7 2" xfId="1402" xr:uid="{00000000-0005-0000-0000-000061050000}"/>
    <cellStyle name="標準 4 8" xfId="1403" xr:uid="{00000000-0005-0000-0000-000062050000}"/>
    <cellStyle name="標準 4 9" xfId="1404" xr:uid="{00000000-0005-0000-0000-000063050000}"/>
    <cellStyle name="標準 4_16_依頼_ERI" xfId="1405" xr:uid="{00000000-0005-0000-0000-000064050000}"/>
    <cellStyle name="標準 40" xfId="103" xr:uid="{00000000-0005-0000-0000-000065050000}"/>
    <cellStyle name="標準 41" xfId="104" xr:uid="{00000000-0005-0000-0000-000066050000}"/>
    <cellStyle name="標準 42" xfId="105" xr:uid="{00000000-0005-0000-0000-000067050000}"/>
    <cellStyle name="標準 43" xfId="106" xr:uid="{00000000-0005-0000-0000-000068050000}"/>
    <cellStyle name="標準 44" xfId="107" xr:uid="{00000000-0005-0000-0000-000069050000}"/>
    <cellStyle name="標準 45" xfId="108" xr:uid="{00000000-0005-0000-0000-00006A050000}"/>
    <cellStyle name="標準 46" xfId="121" xr:uid="{00000000-0005-0000-0000-00006B050000}"/>
    <cellStyle name="標準 47" xfId="123" xr:uid="{00000000-0005-0000-0000-00006C050000}"/>
    <cellStyle name="標準 48" xfId="1536" xr:uid="{00000000-0005-0000-0000-00006D050000}"/>
    <cellStyle name="標準 49" xfId="1537" xr:uid="{00000000-0005-0000-0000-00006E050000}"/>
    <cellStyle name="標準 5" xfId="4" xr:uid="{00000000-0005-0000-0000-00006F050000}"/>
    <cellStyle name="標準 5 10" xfId="1407" xr:uid="{00000000-0005-0000-0000-000070050000}"/>
    <cellStyle name="標準 5 11" xfId="1408" xr:uid="{00000000-0005-0000-0000-000071050000}"/>
    <cellStyle name="標準 5 12" xfId="1406" xr:uid="{00000000-0005-0000-0000-000072050000}"/>
    <cellStyle name="標準 5 2" xfId="57" xr:uid="{00000000-0005-0000-0000-000073050000}"/>
    <cellStyle name="標準 5 2 2" xfId="109" xr:uid="{00000000-0005-0000-0000-000074050000}"/>
    <cellStyle name="標準 5 2 2 2" xfId="1411" xr:uid="{00000000-0005-0000-0000-000075050000}"/>
    <cellStyle name="標準 5 2 2 2 2" xfId="1412" xr:uid="{00000000-0005-0000-0000-000076050000}"/>
    <cellStyle name="標準 5 2 2 3" xfId="1413" xr:uid="{00000000-0005-0000-0000-000077050000}"/>
    <cellStyle name="標準 5 2 2 4" xfId="1410" xr:uid="{00000000-0005-0000-0000-000078050000}"/>
    <cellStyle name="標準 5 2 3" xfId="110" xr:uid="{00000000-0005-0000-0000-000079050000}"/>
    <cellStyle name="標準 5 2 3 2" xfId="1415" xr:uid="{00000000-0005-0000-0000-00007A050000}"/>
    <cellStyle name="標準 5 2 3 2 2" xfId="1416" xr:uid="{00000000-0005-0000-0000-00007B050000}"/>
    <cellStyle name="標準 5 2 3 3" xfId="1417" xr:uid="{00000000-0005-0000-0000-00007C050000}"/>
    <cellStyle name="標準 5 2 3 4" xfId="1414" xr:uid="{00000000-0005-0000-0000-00007D050000}"/>
    <cellStyle name="標準 5 2 4" xfId="111" xr:uid="{00000000-0005-0000-0000-00007E050000}"/>
    <cellStyle name="標準 5 2 4 2" xfId="1419" xr:uid="{00000000-0005-0000-0000-00007F050000}"/>
    <cellStyle name="標準 5 2 4 2 2" xfId="1420" xr:uid="{00000000-0005-0000-0000-000080050000}"/>
    <cellStyle name="標準 5 2 4 3" xfId="1421" xr:uid="{00000000-0005-0000-0000-000081050000}"/>
    <cellStyle name="標準 5 2 4 4" xfId="1418" xr:uid="{00000000-0005-0000-0000-000082050000}"/>
    <cellStyle name="標準 5 2 5" xfId="1422" xr:uid="{00000000-0005-0000-0000-000083050000}"/>
    <cellStyle name="標準 5 2 5 2" xfId="1423" xr:uid="{00000000-0005-0000-0000-000084050000}"/>
    <cellStyle name="標準 5 2 5 2 2" xfId="1424" xr:uid="{00000000-0005-0000-0000-000085050000}"/>
    <cellStyle name="標準 5 2 5 3" xfId="1425" xr:uid="{00000000-0005-0000-0000-000086050000}"/>
    <cellStyle name="標準 5 2 6" xfId="1426" xr:uid="{00000000-0005-0000-0000-000087050000}"/>
    <cellStyle name="標準 5 2 6 2" xfId="1427" xr:uid="{00000000-0005-0000-0000-000088050000}"/>
    <cellStyle name="標準 5 2 7" xfId="1428" xr:uid="{00000000-0005-0000-0000-000089050000}"/>
    <cellStyle name="標準 5 2 7 2" xfId="1429" xr:uid="{00000000-0005-0000-0000-00008A050000}"/>
    <cellStyle name="標準 5 2 8" xfId="1409" xr:uid="{00000000-0005-0000-0000-00008B050000}"/>
    <cellStyle name="標準 5 2_Apply_Change" xfId="1430" xr:uid="{00000000-0005-0000-0000-00008C050000}"/>
    <cellStyle name="標準 5 3" xfId="112" xr:uid="{00000000-0005-0000-0000-00008D050000}"/>
    <cellStyle name="標準 5 3 2" xfId="1432" xr:uid="{00000000-0005-0000-0000-00008E050000}"/>
    <cellStyle name="標準 5 3 3" xfId="1431" xr:uid="{00000000-0005-0000-0000-00008F050000}"/>
    <cellStyle name="標準 5 4" xfId="113" xr:uid="{00000000-0005-0000-0000-000090050000}"/>
    <cellStyle name="標準 5 4 2" xfId="1434" xr:uid="{00000000-0005-0000-0000-000091050000}"/>
    <cellStyle name="標準 5 4 3" xfId="1433" xr:uid="{00000000-0005-0000-0000-000092050000}"/>
    <cellStyle name="標準 5 5" xfId="114" xr:uid="{00000000-0005-0000-0000-000093050000}"/>
    <cellStyle name="標準 5 5 2" xfId="1436" xr:uid="{00000000-0005-0000-0000-000094050000}"/>
    <cellStyle name="標準 5 5 3" xfId="1435" xr:uid="{00000000-0005-0000-0000-000095050000}"/>
    <cellStyle name="標準 5 6" xfId="1437" xr:uid="{00000000-0005-0000-0000-000096050000}"/>
    <cellStyle name="標準 5 6 2" xfId="1438" xr:uid="{00000000-0005-0000-0000-000097050000}"/>
    <cellStyle name="標準 5 7" xfId="1439" xr:uid="{00000000-0005-0000-0000-000098050000}"/>
    <cellStyle name="標準 5 7 2" xfId="1440" xr:uid="{00000000-0005-0000-0000-000099050000}"/>
    <cellStyle name="標準 5 8" xfId="1441" xr:uid="{00000000-0005-0000-0000-00009A050000}"/>
    <cellStyle name="標準 5 8 2" xfId="1442" xr:uid="{00000000-0005-0000-0000-00009B050000}"/>
    <cellStyle name="標準 5 9" xfId="1443" xr:uid="{00000000-0005-0000-0000-00009C050000}"/>
    <cellStyle name="標準 5 9 2" xfId="1444" xr:uid="{00000000-0005-0000-0000-00009D050000}"/>
    <cellStyle name="標準 5_16_依頼_ERI" xfId="1445" xr:uid="{00000000-0005-0000-0000-00009E050000}"/>
    <cellStyle name="標準 50" xfId="1538" xr:uid="{00000000-0005-0000-0000-00009F050000}"/>
    <cellStyle name="標準 51" xfId="1539" xr:uid="{00000000-0005-0000-0000-0000A0050000}"/>
    <cellStyle name="標準 51 2" xfId="1541" xr:uid="{00000000-0005-0000-0000-0000A1050000}"/>
    <cellStyle name="標準 52" xfId="1540" xr:uid="{00000000-0005-0000-0000-0000A2050000}"/>
    <cellStyle name="標準 53" xfId="1542" xr:uid="{00000000-0005-0000-0000-0000A3050000}"/>
    <cellStyle name="標準 54" xfId="1543" xr:uid="{00000000-0005-0000-0000-0000A4050000}"/>
    <cellStyle name="標準 6" xfId="55" xr:uid="{00000000-0005-0000-0000-0000A5050000}"/>
    <cellStyle name="標準 6 10" xfId="1447" xr:uid="{00000000-0005-0000-0000-0000A6050000}"/>
    <cellStyle name="標準 6 11" xfId="1446" xr:uid="{00000000-0005-0000-0000-0000A7050000}"/>
    <cellStyle name="標準 6 2" xfId="115" xr:uid="{00000000-0005-0000-0000-0000A8050000}"/>
    <cellStyle name="標準 6 2 2" xfId="1449" xr:uid="{00000000-0005-0000-0000-0000A9050000}"/>
    <cellStyle name="標準 6 2 2 2" xfId="1450" xr:uid="{00000000-0005-0000-0000-0000AA050000}"/>
    <cellStyle name="標準 6 2 3" xfId="1451" xr:uid="{00000000-0005-0000-0000-0000AB050000}"/>
    <cellStyle name="標準 6 2 3 2" xfId="1452" xr:uid="{00000000-0005-0000-0000-0000AC050000}"/>
    <cellStyle name="標準 6 2 4" xfId="1453" xr:uid="{00000000-0005-0000-0000-0000AD050000}"/>
    <cellStyle name="標準 6 2 4 2" xfId="1454" xr:uid="{00000000-0005-0000-0000-0000AE050000}"/>
    <cellStyle name="標準 6 2 5" xfId="1455" xr:uid="{00000000-0005-0000-0000-0000AF050000}"/>
    <cellStyle name="標準 6 2 5 2" xfId="1456" xr:uid="{00000000-0005-0000-0000-0000B0050000}"/>
    <cellStyle name="標準 6 2 6" xfId="1457" xr:uid="{00000000-0005-0000-0000-0000B1050000}"/>
    <cellStyle name="標準 6 2 6 2" xfId="1458" xr:uid="{00000000-0005-0000-0000-0000B2050000}"/>
    <cellStyle name="標準 6 2 7" xfId="1459" xr:uid="{00000000-0005-0000-0000-0000B3050000}"/>
    <cellStyle name="標準 6 2 8" xfId="1448" xr:uid="{00000000-0005-0000-0000-0000B4050000}"/>
    <cellStyle name="標準 6 2_16_依頼_ERI" xfId="1460" xr:uid="{00000000-0005-0000-0000-0000B5050000}"/>
    <cellStyle name="標準 6 3" xfId="1461" xr:uid="{00000000-0005-0000-0000-0000B6050000}"/>
    <cellStyle name="標準 6 3 2" xfId="1462" xr:uid="{00000000-0005-0000-0000-0000B7050000}"/>
    <cellStyle name="標準 6 3 2 2" xfId="1463" xr:uid="{00000000-0005-0000-0000-0000B8050000}"/>
    <cellStyle name="標準 6 3 3" xfId="1464" xr:uid="{00000000-0005-0000-0000-0000B9050000}"/>
    <cellStyle name="標準 6 3 3 2" xfId="1465" xr:uid="{00000000-0005-0000-0000-0000BA050000}"/>
    <cellStyle name="標準 6 3 4" xfId="1466" xr:uid="{00000000-0005-0000-0000-0000BB050000}"/>
    <cellStyle name="標準 6 3 4 2" xfId="1467" xr:uid="{00000000-0005-0000-0000-0000BC050000}"/>
    <cellStyle name="標準 6 3 5" xfId="1468" xr:uid="{00000000-0005-0000-0000-0000BD050000}"/>
    <cellStyle name="標準 6 3 5 2" xfId="1469" xr:uid="{00000000-0005-0000-0000-0000BE050000}"/>
    <cellStyle name="標準 6 3 6" xfId="1470" xr:uid="{00000000-0005-0000-0000-0000BF050000}"/>
    <cellStyle name="標準 6 3 6 2" xfId="1471" xr:uid="{00000000-0005-0000-0000-0000C0050000}"/>
    <cellStyle name="標準 6 3 7" xfId="1472" xr:uid="{00000000-0005-0000-0000-0000C1050000}"/>
    <cellStyle name="標準 6 3_16_依頼_ERI" xfId="1473" xr:uid="{00000000-0005-0000-0000-0000C2050000}"/>
    <cellStyle name="標準 6 4" xfId="1474" xr:uid="{00000000-0005-0000-0000-0000C3050000}"/>
    <cellStyle name="標準 6 4 2" xfId="1475" xr:uid="{00000000-0005-0000-0000-0000C4050000}"/>
    <cellStyle name="標準 6 4 2 2" xfId="1476" xr:uid="{00000000-0005-0000-0000-0000C5050000}"/>
    <cellStyle name="標準 6 4 3" xfId="1477" xr:uid="{00000000-0005-0000-0000-0000C6050000}"/>
    <cellStyle name="標準 6 4 3 2" xfId="1478" xr:uid="{00000000-0005-0000-0000-0000C7050000}"/>
    <cellStyle name="標準 6 4 4" xfId="1479" xr:uid="{00000000-0005-0000-0000-0000C8050000}"/>
    <cellStyle name="標準 6 4 4 2" xfId="1480" xr:uid="{00000000-0005-0000-0000-0000C9050000}"/>
    <cellStyle name="標準 6 4 5" xfId="1481" xr:uid="{00000000-0005-0000-0000-0000CA050000}"/>
    <cellStyle name="標準 6 4 5 2" xfId="1482" xr:uid="{00000000-0005-0000-0000-0000CB050000}"/>
    <cellStyle name="標準 6 4 6" xfId="1483" xr:uid="{00000000-0005-0000-0000-0000CC050000}"/>
    <cellStyle name="標準 6 4 6 2" xfId="1484" xr:uid="{00000000-0005-0000-0000-0000CD050000}"/>
    <cellStyle name="標準 6 4 7" xfId="1485" xr:uid="{00000000-0005-0000-0000-0000CE050000}"/>
    <cellStyle name="標準 6 4_16_依頼_ERI" xfId="1486" xr:uid="{00000000-0005-0000-0000-0000CF050000}"/>
    <cellStyle name="標準 6 5" xfId="1487" xr:uid="{00000000-0005-0000-0000-0000D0050000}"/>
    <cellStyle name="標準 6 5 2" xfId="1488" xr:uid="{00000000-0005-0000-0000-0000D1050000}"/>
    <cellStyle name="標準 6 6" xfId="1489" xr:uid="{00000000-0005-0000-0000-0000D2050000}"/>
    <cellStyle name="標準 6 6 2" xfId="1490" xr:uid="{00000000-0005-0000-0000-0000D3050000}"/>
    <cellStyle name="標準 6 7" xfId="1491" xr:uid="{00000000-0005-0000-0000-0000D4050000}"/>
    <cellStyle name="標準 6 7 2" xfId="1492" xr:uid="{00000000-0005-0000-0000-0000D5050000}"/>
    <cellStyle name="標準 6 8" xfId="1493" xr:uid="{00000000-0005-0000-0000-0000D6050000}"/>
    <cellStyle name="標準 6 8 2" xfId="1494" xr:uid="{00000000-0005-0000-0000-0000D7050000}"/>
    <cellStyle name="標準 6 9" xfId="1495" xr:uid="{00000000-0005-0000-0000-0000D8050000}"/>
    <cellStyle name="標準 6 9 2" xfId="1496" xr:uid="{00000000-0005-0000-0000-0000D9050000}"/>
    <cellStyle name="標準 6_16_依頼_ERI" xfId="1497" xr:uid="{00000000-0005-0000-0000-0000DA050000}"/>
    <cellStyle name="標準 7" xfId="116" xr:uid="{00000000-0005-0000-0000-0000DB050000}"/>
    <cellStyle name="標準 7 2" xfId="117" xr:uid="{00000000-0005-0000-0000-0000DC050000}"/>
    <cellStyle name="標準 7 2 2" xfId="1499" xr:uid="{00000000-0005-0000-0000-0000DD050000}"/>
    <cellStyle name="標準 7 3" xfId="1500" xr:uid="{00000000-0005-0000-0000-0000DE050000}"/>
    <cellStyle name="標準 7 4" xfId="1498" xr:uid="{00000000-0005-0000-0000-0000DF050000}"/>
    <cellStyle name="標準 8" xfId="118" xr:uid="{00000000-0005-0000-0000-0000E0050000}"/>
    <cellStyle name="標準 8 10" xfId="1502" xr:uid="{00000000-0005-0000-0000-0000E1050000}"/>
    <cellStyle name="標準 8 11" xfId="1501" xr:uid="{00000000-0005-0000-0000-0000E2050000}"/>
    <cellStyle name="標準 8 2" xfId="1503" xr:uid="{00000000-0005-0000-0000-0000E3050000}"/>
    <cellStyle name="標準 8 2 2" xfId="1504" xr:uid="{00000000-0005-0000-0000-0000E4050000}"/>
    <cellStyle name="標準 8 2 2 2" xfId="1505" xr:uid="{00000000-0005-0000-0000-0000E5050000}"/>
    <cellStyle name="標準 8 2 2 2 2" xfId="1506" xr:uid="{00000000-0005-0000-0000-0000E6050000}"/>
    <cellStyle name="標準 8 2 3" xfId="1507" xr:uid="{00000000-0005-0000-0000-0000E7050000}"/>
    <cellStyle name="標準 8 2 3 2" xfId="1508" xr:uid="{00000000-0005-0000-0000-0000E8050000}"/>
    <cellStyle name="標準 8 2 4" xfId="1509" xr:uid="{00000000-0005-0000-0000-0000E9050000}"/>
    <cellStyle name="標準 8 2_Apply_KanrisyaHenkouN_131212" xfId="1510" xr:uid="{00000000-0005-0000-0000-0000EA050000}"/>
    <cellStyle name="標準 8 3" xfId="1511" xr:uid="{00000000-0005-0000-0000-0000EB050000}"/>
    <cellStyle name="標準 8 3 2" xfId="1512" xr:uid="{00000000-0005-0000-0000-0000EC050000}"/>
    <cellStyle name="標準 8 3 3" xfId="1513" xr:uid="{00000000-0005-0000-0000-0000ED050000}"/>
    <cellStyle name="標準 8 4" xfId="1514" xr:uid="{00000000-0005-0000-0000-0000EE050000}"/>
    <cellStyle name="標準 8 4 2" xfId="1515" xr:uid="{00000000-0005-0000-0000-0000EF050000}"/>
    <cellStyle name="標準 8 4 3" xfId="1516" xr:uid="{00000000-0005-0000-0000-0000F0050000}"/>
    <cellStyle name="標準 8 5" xfId="1517" xr:uid="{00000000-0005-0000-0000-0000F1050000}"/>
    <cellStyle name="標準 8 6" xfId="1518" xr:uid="{00000000-0005-0000-0000-0000F2050000}"/>
    <cellStyle name="標準 8 7" xfId="1519" xr:uid="{00000000-0005-0000-0000-0000F3050000}"/>
    <cellStyle name="標準 8 8" xfId="1520" xr:uid="{00000000-0005-0000-0000-0000F4050000}"/>
    <cellStyle name="標準 8 9" xfId="1521" xr:uid="{00000000-0005-0000-0000-0000F5050000}"/>
    <cellStyle name="標準 8_Data" xfId="1522" xr:uid="{00000000-0005-0000-0000-0000F6050000}"/>
    <cellStyle name="標準 9" xfId="119" xr:uid="{00000000-0005-0000-0000-0000F7050000}"/>
    <cellStyle name="標準 9 2" xfId="1524" xr:uid="{00000000-0005-0000-0000-0000F8050000}"/>
    <cellStyle name="標準 9 2 2" xfId="1525" xr:uid="{00000000-0005-0000-0000-0000F9050000}"/>
    <cellStyle name="標準 9 2 3" xfId="1526" xr:uid="{00000000-0005-0000-0000-0000FA050000}"/>
    <cellStyle name="標準 9 3" xfId="1523" xr:uid="{00000000-0005-0000-0000-0000FB050000}"/>
    <cellStyle name="標準 9_dSTART" xfId="1527" xr:uid="{00000000-0005-0000-0000-0000FC050000}"/>
    <cellStyle name="標準_Sheet1" xfId="120" xr:uid="{00000000-0005-0000-0000-0000FD050000}"/>
    <cellStyle name="標準_主要用途" xfId="3" xr:uid="{00000000-0005-0000-0000-0000FE050000}"/>
    <cellStyle name="良い 2" xfId="54" xr:uid="{00000000-0005-0000-0000-0000FF050000}"/>
    <cellStyle name="良い 2 2" xfId="1529" xr:uid="{00000000-0005-0000-0000-000000060000}"/>
    <cellStyle name="良い 2 3" xfId="1528" xr:uid="{00000000-0005-0000-0000-000001060000}"/>
    <cellStyle name="良い 3" xfId="1530" xr:uid="{00000000-0005-0000-0000-000002060000}"/>
    <cellStyle name="良い 3 2" xfId="1531" xr:uid="{00000000-0005-0000-0000-000003060000}"/>
    <cellStyle name="良い 4" xfId="1532" xr:uid="{00000000-0005-0000-0000-000004060000}"/>
    <cellStyle name="良い 4 2" xfId="1533" xr:uid="{00000000-0005-0000-0000-000005060000}"/>
    <cellStyle name="良い 5" xfId="1534" xr:uid="{00000000-0005-0000-0000-000006060000}"/>
    <cellStyle name="良い 5 2" xfId="1535" xr:uid="{00000000-0005-0000-0000-000007060000}"/>
  </cellStyles>
  <dxfs count="1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k-center.co.jp/" TargetMode="External"/><Relationship Id="rId1" Type="http://schemas.openxmlformats.org/officeDocument/2006/relationships/hyperlink" Target="http://www.ak-center.co.jp/download.html" TargetMode="External"/></Relationships>
</file>

<file path=xl/drawings/drawing1.xml><?xml version="1.0" encoding="utf-8"?>
<xdr:wsDr xmlns:xdr="http://schemas.openxmlformats.org/drawingml/2006/spreadsheetDrawing" xmlns:a="http://schemas.openxmlformats.org/drawingml/2006/main">
  <xdr:twoCellAnchor>
    <xdr:from>
      <xdr:col>9</xdr:col>
      <xdr:colOff>57085</xdr:colOff>
      <xdr:row>9</xdr:row>
      <xdr:rowOff>28798</xdr:rowOff>
    </xdr:from>
    <xdr:to>
      <xdr:col>30</xdr:col>
      <xdr:colOff>152456</xdr:colOff>
      <xdr:row>15</xdr:row>
      <xdr:rowOff>19087</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61EDBA7-261D-4CF0-BAF6-DF55CE49457D}"/>
            </a:ext>
          </a:extLst>
        </xdr:cNvPr>
        <xdr:cNvSpPr/>
      </xdr:nvSpPr>
      <xdr:spPr>
        <a:xfrm>
          <a:off x="1266825" y="1228724"/>
          <a:ext cx="4038600" cy="8667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ja-JP" altLang="en-US" sz="1400" b="0" i="0">
              <a:latin typeface="ＭＳ Ｐゴシック"/>
              <a:ea typeface="ＭＳ Ｐゴシック"/>
              <a:cs typeface="ＭＳ Ｐゴシック"/>
            </a:rPr>
            <a:t>愛知建築センターホームページへ</a:t>
          </a:r>
        </a:p>
      </xdr:txBody>
    </xdr:sp>
    <xdr:clientData/>
  </xdr:twoCellAnchor>
  <xdr:oneCellAnchor>
    <xdr:from>
      <xdr:col>24</xdr:col>
      <xdr:colOff>142838</xdr:colOff>
      <xdr:row>19</xdr:row>
      <xdr:rowOff>133462</xdr:rowOff>
    </xdr:from>
    <xdr:ext cx="180975" cy="266700"/>
    <xdr:sp macro="" textlink="">
      <xdr:nvSpPr>
        <xdr:cNvPr id="3" name="テキスト ボックス 2">
          <a:extLst>
            <a:ext uri="{FF2B5EF4-FFF2-40B4-BE49-F238E27FC236}">
              <a16:creationId xmlns:a16="http://schemas.microsoft.com/office/drawing/2014/main" id="{48C578A2-396B-48ED-B59F-BB6D6F62E6AE}"/>
            </a:ext>
          </a:extLst>
        </xdr:cNvPr>
        <xdr:cNvSpPr txBox="1"/>
      </xdr:nvSpPr>
      <xdr:spPr>
        <a:xfrm>
          <a:off x="4038600" y="24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lstStyle/>
        <a:p>
          <a:endParaRPr/>
        </a:p>
      </xdr:txBody>
    </xdr:sp>
    <xdr:clientData/>
  </xdr:oneCellAnchor>
  <xdr:twoCellAnchor editAs="oneCell">
    <xdr:from>
      <xdr:col>1</xdr:col>
      <xdr:colOff>0</xdr:colOff>
      <xdr:row>0</xdr:row>
      <xdr:rowOff>56927</xdr:rowOff>
    </xdr:from>
    <xdr:to>
      <xdr:col>17</xdr:col>
      <xdr:colOff>28649</xdr:colOff>
      <xdr:row>2</xdr:row>
      <xdr:rowOff>85948</xdr:rowOff>
    </xdr:to>
    <xdr:pic>
      <xdr:nvPicPr>
        <xdr:cNvPr id="4" name="toplist" descr="株式会社愛知建築センター">
          <a:hlinkClick xmlns:r="http://schemas.openxmlformats.org/officeDocument/2006/relationships" r:id="rId2"/>
          <a:extLst>
            <a:ext uri="{FF2B5EF4-FFF2-40B4-BE49-F238E27FC236}">
              <a16:creationId xmlns:a16="http://schemas.microsoft.com/office/drawing/2014/main" id="{797BDAA9-D7AD-4664-81A5-9FC856D1D5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t="50725"/>
        <a:stretch>
          <a:fillRect/>
        </a:stretch>
      </xdr:blipFill>
      <xdr:spPr>
        <a:xfrm>
          <a:off x="85725" y="57150"/>
          <a:ext cx="2371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314325</xdr:colOff>
          <xdr:row>20</xdr:row>
          <xdr:rowOff>0</xdr:rowOff>
        </xdr:from>
        <xdr:to>
          <xdr:col>2</xdr:col>
          <xdr:colOff>19050</xdr:colOff>
          <xdr:row>21</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700-000001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21</xdr:row>
          <xdr:rowOff>9525</xdr:rowOff>
        </xdr:from>
        <xdr:to>
          <xdr:col>2</xdr:col>
          <xdr:colOff>19050</xdr:colOff>
          <xdr:row>22</xdr:row>
          <xdr:rowOff>9525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700-000002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314325</xdr:colOff>
          <xdr:row>22</xdr:row>
          <xdr:rowOff>9525</xdr:rowOff>
        </xdr:from>
        <xdr:to>
          <xdr:col>2</xdr:col>
          <xdr:colOff>19050</xdr:colOff>
          <xdr:row>23</xdr:row>
          <xdr:rowOff>9525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700-0000033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24</xdr:row>
      <xdr:rowOff>9376</xdr:rowOff>
    </xdr:from>
    <xdr:to>
      <xdr:col>107</xdr:col>
      <xdr:colOff>38119</xdr:colOff>
      <xdr:row>24</xdr:row>
      <xdr:rowOff>9376</xdr:rowOff>
    </xdr:to>
    <xdr:sp macro="" textlink="">
      <xdr:nvSpPr>
        <xdr:cNvPr id="2" name="Picture 1">
          <a:extLst>
            <a:ext uri="{FF2B5EF4-FFF2-40B4-BE49-F238E27FC236}">
              <a16:creationId xmlns:a16="http://schemas.microsoft.com/office/drawing/2014/main" id="{00000000-0008-0000-1F00-000002000000}"/>
            </a:ext>
          </a:extLst>
        </xdr:cNvPr>
        <xdr:cNvSpPr/>
      </xdr:nvSpPr>
      <xdr:spPr>
        <a:xfrm>
          <a:off x="57150" y="4086225"/>
          <a:ext cx="6096000" cy="0"/>
        </a:xfrm>
        <a:prstGeom prst="line">
          <a:avLst/>
        </a:prstGeom>
        <a:ln w="9525">
          <a:solidFill>
            <a:srgbClr val="000000"/>
          </a:solidFill>
        </a:ln>
      </xdr:spPr>
      <xdr:txBody>
        <a:bodyPr vertOverflow="clip" horzOverflow="clip"/>
        <a:lstStyle/>
        <a:p>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K58"/>
  <sheetViews>
    <sheetView workbookViewId="0">
      <pane xSplit="1" ySplit="2" topLeftCell="B36" activePane="bottomRight" state="frozen"/>
      <selection pane="topRight"/>
      <selection pane="bottomLeft"/>
      <selection pane="bottomRight"/>
    </sheetView>
  </sheetViews>
  <sheetFormatPr defaultColWidth="9" defaultRowHeight="14.25" customHeight="1"/>
  <cols>
    <col min="1" max="1" width="28.25" style="12" customWidth="1"/>
    <col min="2" max="2" width="23.375" style="12" customWidth="1"/>
    <col min="3" max="3" width="16.75" style="12" customWidth="1"/>
    <col min="4" max="5" width="3.625" style="10" customWidth="1"/>
    <col min="6" max="6" width="10.625" style="10" customWidth="1"/>
    <col min="7" max="11" width="14.25" style="10" customWidth="1"/>
    <col min="12" max="12" width="9" style="10" customWidth="1"/>
    <col min="13" max="16384" width="9" style="10"/>
  </cols>
  <sheetData>
    <row r="1" spans="1:11" ht="63.75" customHeight="1">
      <c r="A1" s="11" t="s">
        <v>0</v>
      </c>
      <c r="B1" s="11" t="s">
        <v>1</v>
      </c>
      <c r="C1" s="11" t="s">
        <v>2</v>
      </c>
      <c r="D1" s="770" t="s">
        <v>3</v>
      </c>
      <c r="E1" s="770"/>
      <c r="F1" s="183" t="s">
        <v>4</v>
      </c>
      <c r="G1" s="10" t="s">
        <v>5</v>
      </c>
      <c r="H1" s="10" t="s">
        <v>6</v>
      </c>
      <c r="I1" s="10" t="s">
        <v>7</v>
      </c>
      <c r="J1" s="10" t="s">
        <v>8</v>
      </c>
      <c r="K1" s="10" t="s">
        <v>9</v>
      </c>
    </row>
    <row r="2" spans="1:11" ht="14.25" customHeight="1">
      <c r="G2" s="183">
        <f>IF(cst__output_sheetname=G1, 1, 0)</f>
        <v>0</v>
      </c>
      <c r="H2" s="183">
        <f>IF(cst__output_sheetname=H1, 1, 0)</f>
        <v>0</v>
      </c>
      <c r="I2" s="183">
        <f t="shared" ref="I2:J2" si="0">IF(cst__output_sheetname=I1, 1, 0)</f>
        <v>0</v>
      </c>
      <c r="J2" s="183">
        <f t="shared" si="0"/>
        <v>1</v>
      </c>
      <c r="K2" s="183">
        <f t="shared" ref="K2" si="1">IF(cst__output_sheetname=K1, 1, 0)</f>
        <v>0</v>
      </c>
    </row>
    <row r="4" spans="1:11" ht="14.25" customHeight="1">
      <c r="A4" s="12" t="s">
        <v>10</v>
      </c>
      <c r="B4" s="12">
        <v>-2</v>
      </c>
      <c r="C4" s="12">
        <v>-2</v>
      </c>
    </row>
    <row r="5" spans="1:11" ht="14.25" customHeight="1">
      <c r="A5" s="12" t="s">
        <v>11</v>
      </c>
      <c r="B5" s="12">
        <v>-2</v>
      </c>
      <c r="C5" s="12">
        <v>-2</v>
      </c>
    </row>
    <row r="6" spans="1:11" ht="14.25" customHeight="1">
      <c r="A6" s="12" t="s">
        <v>12</v>
      </c>
      <c r="B6" s="12">
        <v>-2</v>
      </c>
      <c r="C6" s="12">
        <v>-2</v>
      </c>
    </row>
    <row r="7" spans="1:11" ht="14.25" customHeight="1">
      <c r="A7" s="12" t="s">
        <v>13</v>
      </c>
      <c r="B7" s="12">
        <v>-2</v>
      </c>
      <c r="C7" s="12">
        <v>-2</v>
      </c>
    </row>
    <row r="8" spans="1:11" ht="14.25" customHeight="1">
      <c r="A8" s="12" t="s">
        <v>14</v>
      </c>
      <c r="B8" s="12">
        <v>-2</v>
      </c>
      <c r="C8" s="12">
        <v>-2</v>
      </c>
    </row>
    <row r="9" spans="1:11" ht="14.25" customHeight="1">
      <c r="A9" s="12" t="s">
        <v>15</v>
      </c>
      <c r="B9" s="12">
        <v>-2</v>
      </c>
      <c r="C9" s="12">
        <v>-2</v>
      </c>
    </row>
    <row r="10" spans="1:11" ht="14.25" customHeight="1">
      <c r="A10" s="12" t="s">
        <v>16</v>
      </c>
      <c r="B10" s="12">
        <v>-2</v>
      </c>
    </row>
    <row r="11" spans="1:11" ht="14.25" customHeight="1">
      <c r="A11" s="12" t="s">
        <v>17</v>
      </c>
      <c r="B11" s="12">
        <v>-2</v>
      </c>
    </row>
    <row r="12" spans="1:11" ht="14.25" customHeight="1">
      <c r="A12" s="12" t="s">
        <v>18</v>
      </c>
      <c r="B12" s="12">
        <f t="shared" ref="B12:B53" si="2">D12</f>
        <v>1</v>
      </c>
      <c r="D12" s="10">
        <f>IF(F12&lt;&gt;"",IF(F12=1,IF(F12+E12=2,1,-2),F12),IF(E12=0,-2,E12))</f>
        <v>1</v>
      </c>
      <c r="E12" s="10">
        <f t="shared" ref="E12:E53" si="3">IF(cst__output_sheetname="", 1, 0)+IF(AND(I12=1,I$2=1), 1, 0)+IF(AND(J12=1,J$2=1), 1, 0)+IF(AND(H12=1,H$2=1), 1, 0)+IF(AND(G12=1,G$2=1), 1, 0)+IF(AND(K12=1,K$2=1), 1, 0)</f>
        <v>1</v>
      </c>
      <c r="F12" s="183">
        <v>1</v>
      </c>
      <c r="G12" s="10">
        <v>1</v>
      </c>
      <c r="H12" s="10">
        <v>1</v>
      </c>
      <c r="I12" s="10">
        <v>1</v>
      </c>
      <c r="J12" s="10">
        <v>1</v>
      </c>
      <c r="K12" s="10">
        <v>1</v>
      </c>
    </row>
    <row r="13" spans="1:11" ht="14.25" customHeight="1">
      <c r="D13" s="10">
        <f t="shared" ref="D13:D53" si="4">IF(F13&lt;&gt;"",IF(F13=1,IF(F13+E13=2,1,-2),F13),IF(E13=0,-2,E13))</f>
        <v>-2</v>
      </c>
      <c r="E13" s="10">
        <f t="shared" si="3"/>
        <v>0</v>
      </c>
    </row>
    <row r="14" spans="1:11" ht="14.25" customHeight="1">
      <c r="D14" s="10">
        <f t="shared" si="4"/>
        <v>-2</v>
      </c>
      <c r="E14" s="10">
        <f t="shared" si="3"/>
        <v>0</v>
      </c>
    </row>
    <row r="15" spans="1:11" ht="14.25" customHeight="1">
      <c r="A15" s="12" t="s">
        <v>19</v>
      </c>
      <c r="B15" s="12">
        <f t="shared" si="2"/>
        <v>-2</v>
      </c>
      <c r="D15" s="10">
        <f t="shared" si="4"/>
        <v>-2</v>
      </c>
      <c r="E15" s="10">
        <f t="shared" si="3"/>
        <v>0</v>
      </c>
      <c r="H15" s="10">
        <v>1</v>
      </c>
    </row>
    <row r="16" spans="1:11" ht="14.25" customHeight="1">
      <c r="A16" s="12" t="s">
        <v>20</v>
      </c>
      <c r="B16" s="12">
        <f t="shared" si="2"/>
        <v>-2</v>
      </c>
      <c r="D16" s="10">
        <f t="shared" si="4"/>
        <v>-2</v>
      </c>
      <c r="E16" s="10">
        <f t="shared" si="3"/>
        <v>0</v>
      </c>
      <c r="H16" s="10">
        <v>1</v>
      </c>
    </row>
    <row r="17" spans="1:10" ht="14.25" customHeight="1">
      <c r="D17" s="10">
        <f t="shared" si="4"/>
        <v>-2</v>
      </c>
      <c r="E17" s="10">
        <f t="shared" si="3"/>
        <v>0</v>
      </c>
    </row>
    <row r="18" spans="1:10" ht="14.25" customHeight="1">
      <c r="A18" s="12" t="s">
        <v>21</v>
      </c>
      <c r="B18" s="12">
        <f t="shared" si="2"/>
        <v>-2</v>
      </c>
      <c r="D18" s="10">
        <f t="shared" si="4"/>
        <v>-2</v>
      </c>
      <c r="E18" s="10">
        <f t="shared" si="3"/>
        <v>0</v>
      </c>
      <c r="G18" s="10">
        <v>1</v>
      </c>
    </row>
    <row r="19" spans="1:10" ht="14.25" customHeight="1">
      <c r="A19" s="12" t="s">
        <v>22</v>
      </c>
      <c r="B19" s="12">
        <f t="shared" ref="B19" si="5">D19</f>
        <v>-2</v>
      </c>
      <c r="D19" s="10">
        <f t="shared" ref="D19" si="6">IF(F19&lt;&gt;"",IF(F19=1,IF(F19+E19=2,1,-2),F19),IF(E19=0,-2,E19))</f>
        <v>-2</v>
      </c>
      <c r="E19" s="10">
        <f t="shared" ref="E19" si="7">IF(cst__output_sheetname="", 1, 0)+IF(AND(I19=1,I$2=1), 1, 0)+IF(AND(J19=1,J$2=1), 1, 0)+IF(AND(H19=1,H$2=1), 1, 0)+IF(AND(G19=1,G$2=1), 1, 0)+IF(AND(K19=1,K$2=1), 1, 0)</f>
        <v>0</v>
      </c>
      <c r="G19" s="10">
        <v>1</v>
      </c>
    </row>
    <row r="20" spans="1:10" ht="14.25" customHeight="1">
      <c r="A20" s="12" t="s">
        <v>23</v>
      </c>
      <c r="B20" s="12">
        <f t="shared" si="2"/>
        <v>-2</v>
      </c>
      <c r="D20" s="10">
        <f t="shared" si="4"/>
        <v>-2</v>
      </c>
      <c r="E20" s="10">
        <f t="shared" si="3"/>
        <v>0</v>
      </c>
      <c r="G20" s="10">
        <v>1</v>
      </c>
    </row>
    <row r="21" spans="1:10" ht="14.25" customHeight="1">
      <c r="A21" s="12" t="s">
        <v>24</v>
      </c>
      <c r="B21" s="12">
        <f t="shared" si="2"/>
        <v>-2</v>
      </c>
      <c r="D21" s="10">
        <f t="shared" si="4"/>
        <v>-2</v>
      </c>
      <c r="E21" s="10">
        <f t="shared" si="3"/>
        <v>0</v>
      </c>
      <c r="G21" s="10">
        <v>1</v>
      </c>
    </row>
    <row r="22" spans="1:10" ht="14.25" customHeight="1">
      <c r="A22" s="12" t="s">
        <v>25</v>
      </c>
      <c r="B22" s="12">
        <f t="shared" si="2"/>
        <v>-2</v>
      </c>
      <c r="D22" s="10">
        <f t="shared" si="4"/>
        <v>-2</v>
      </c>
      <c r="E22" s="10">
        <f t="shared" si="3"/>
        <v>0</v>
      </c>
      <c r="G22" s="10">
        <v>1</v>
      </c>
    </row>
    <row r="23" spans="1:10" ht="14.25" customHeight="1">
      <c r="D23" s="10">
        <f t="shared" si="4"/>
        <v>-2</v>
      </c>
      <c r="E23" s="10">
        <f t="shared" si="3"/>
        <v>0</v>
      </c>
    </row>
    <row r="24" spans="1:10" ht="14.25" customHeight="1">
      <c r="A24" s="12" t="s">
        <v>26</v>
      </c>
      <c r="B24" s="12">
        <f t="shared" si="2"/>
        <v>-2</v>
      </c>
      <c r="D24" s="10">
        <f t="shared" si="4"/>
        <v>-2</v>
      </c>
      <c r="E24" s="10">
        <f t="shared" si="3"/>
        <v>0</v>
      </c>
      <c r="I24" s="10">
        <v>1</v>
      </c>
    </row>
    <row r="25" spans="1:10" ht="14.25" customHeight="1">
      <c r="A25" s="12" t="s">
        <v>27</v>
      </c>
      <c r="B25" s="12">
        <f t="shared" si="2"/>
        <v>1</v>
      </c>
      <c r="D25" s="10">
        <f t="shared" si="4"/>
        <v>1</v>
      </c>
      <c r="E25" s="10">
        <f t="shared" si="3"/>
        <v>1</v>
      </c>
      <c r="J25" s="10">
        <v>1</v>
      </c>
    </row>
    <row r="26" spans="1:10" ht="14.25" customHeight="1">
      <c r="D26" s="10">
        <f t="shared" si="4"/>
        <v>-2</v>
      </c>
      <c r="E26" s="10">
        <f t="shared" si="3"/>
        <v>0</v>
      </c>
    </row>
    <row r="27" spans="1:10" ht="14.25" customHeight="1">
      <c r="A27" s="12" t="s">
        <v>28</v>
      </c>
      <c r="B27" s="12">
        <f t="shared" si="2"/>
        <v>1</v>
      </c>
      <c r="D27" s="10">
        <f t="shared" si="4"/>
        <v>1</v>
      </c>
      <c r="E27" s="10">
        <f t="shared" si="3"/>
        <v>1</v>
      </c>
      <c r="G27" s="10">
        <v>1</v>
      </c>
      <c r="I27" s="10">
        <v>1</v>
      </c>
      <c r="J27" s="10">
        <v>1</v>
      </c>
    </row>
    <row r="28" spans="1:10" ht="14.25" customHeight="1">
      <c r="A28" s="12" t="s">
        <v>29</v>
      </c>
      <c r="B28" s="12">
        <f t="shared" si="2"/>
        <v>-2</v>
      </c>
      <c r="D28" s="10">
        <f t="shared" si="4"/>
        <v>-2</v>
      </c>
      <c r="E28" s="10">
        <f t="shared" si="3"/>
        <v>0</v>
      </c>
      <c r="H28" s="10">
        <v>1</v>
      </c>
    </row>
    <row r="29" spans="1:10" ht="14.25" customHeight="1">
      <c r="A29" s="12" t="s">
        <v>30</v>
      </c>
      <c r="B29" s="12">
        <f t="shared" si="2"/>
        <v>1</v>
      </c>
      <c r="D29" s="10">
        <f t="shared" si="4"/>
        <v>1</v>
      </c>
      <c r="E29" s="10">
        <f t="shared" si="3"/>
        <v>1</v>
      </c>
      <c r="G29" s="10">
        <v>1</v>
      </c>
      <c r="H29" s="10">
        <v>1</v>
      </c>
      <c r="I29" s="10">
        <v>1</v>
      </c>
      <c r="J29" s="10">
        <v>1</v>
      </c>
    </row>
    <row r="30" spans="1:10" ht="14.25" customHeight="1">
      <c r="A30" s="12" t="s">
        <v>31</v>
      </c>
      <c r="B30" s="12">
        <f t="shared" si="2"/>
        <v>1</v>
      </c>
      <c r="D30" s="10">
        <f t="shared" si="4"/>
        <v>1</v>
      </c>
      <c r="E30" s="10">
        <f t="shared" si="3"/>
        <v>1</v>
      </c>
      <c r="G30" s="10">
        <v>1</v>
      </c>
      <c r="H30" s="10">
        <v>1</v>
      </c>
      <c r="I30" s="10">
        <v>1</v>
      </c>
      <c r="J30" s="10">
        <v>1</v>
      </c>
    </row>
    <row r="31" spans="1:10" ht="14.25" customHeight="1">
      <c r="A31" s="12" t="s">
        <v>32</v>
      </c>
      <c r="B31" s="12">
        <f t="shared" si="2"/>
        <v>1</v>
      </c>
      <c r="D31" s="10">
        <f t="shared" si="4"/>
        <v>1</v>
      </c>
      <c r="E31" s="10">
        <f t="shared" si="3"/>
        <v>1</v>
      </c>
      <c r="G31" s="10">
        <v>1</v>
      </c>
      <c r="H31" s="10">
        <v>1</v>
      </c>
      <c r="I31" s="10">
        <v>1</v>
      </c>
      <c r="J31" s="10">
        <v>1</v>
      </c>
    </row>
    <row r="32" spans="1:10" ht="14.25" customHeight="1">
      <c r="A32" s="12" t="s">
        <v>33</v>
      </c>
      <c r="B32" s="12">
        <f t="shared" si="2"/>
        <v>1</v>
      </c>
      <c r="D32" s="10">
        <f t="shared" si="4"/>
        <v>1</v>
      </c>
      <c r="E32" s="10">
        <f t="shared" si="3"/>
        <v>1</v>
      </c>
      <c r="G32" s="10">
        <v>1</v>
      </c>
      <c r="H32" s="10">
        <v>1</v>
      </c>
      <c r="I32" s="10">
        <v>1</v>
      </c>
      <c r="J32" s="10">
        <v>1</v>
      </c>
    </row>
    <row r="33" spans="1:11" ht="14.25" customHeight="1">
      <c r="D33" s="10">
        <f t="shared" si="4"/>
        <v>-2</v>
      </c>
      <c r="E33" s="10">
        <f t="shared" si="3"/>
        <v>0</v>
      </c>
    </row>
    <row r="34" spans="1:11" ht="14.25" customHeight="1">
      <c r="A34" s="12" t="s">
        <v>34</v>
      </c>
      <c r="B34" s="12">
        <f t="shared" si="2"/>
        <v>-2</v>
      </c>
      <c r="D34" s="10">
        <f t="shared" ref="D34:D38" si="8">IF(F34&lt;&gt;"",IF(F34=1,IF(F34+E34=2,1,-2),F34),IF(E34=0,-2,E34))</f>
        <v>-2</v>
      </c>
      <c r="E34" s="10">
        <f t="shared" si="3"/>
        <v>0</v>
      </c>
      <c r="K34" s="10">
        <v>1</v>
      </c>
    </row>
    <row r="35" spans="1:11" ht="14.25" customHeight="1">
      <c r="A35" s="12" t="s">
        <v>35</v>
      </c>
      <c r="B35" s="12">
        <f t="shared" si="2"/>
        <v>-2</v>
      </c>
      <c r="D35" s="10">
        <f t="shared" si="8"/>
        <v>-2</v>
      </c>
      <c r="E35" s="10">
        <f t="shared" si="3"/>
        <v>0</v>
      </c>
      <c r="K35" s="10">
        <v>1</v>
      </c>
    </row>
    <row r="36" spans="1:11" ht="14.25" customHeight="1">
      <c r="A36" s="12" t="s">
        <v>36</v>
      </c>
      <c r="B36" s="12">
        <f t="shared" si="2"/>
        <v>-2</v>
      </c>
      <c r="D36" s="10">
        <f t="shared" si="8"/>
        <v>-2</v>
      </c>
      <c r="E36" s="10">
        <f t="shared" si="3"/>
        <v>0</v>
      </c>
      <c r="K36" s="10">
        <v>1</v>
      </c>
    </row>
    <row r="37" spans="1:11" ht="14.25" customHeight="1">
      <c r="A37" s="12" t="s">
        <v>37</v>
      </c>
      <c r="B37" s="12">
        <f t="shared" si="2"/>
        <v>-2</v>
      </c>
      <c r="D37" s="10">
        <f t="shared" si="8"/>
        <v>-2</v>
      </c>
      <c r="E37" s="10">
        <f t="shared" si="3"/>
        <v>0</v>
      </c>
      <c r="K37" s="10">
        <v>1</v>
      </c>
    </row>
    <row r="38" spans="1:11" ht="14.25" customHeight="1">
      <c r="D38" s="10">
        <f t="shared" si="8"/>
        <v>-2</v>
      </c>
      <c r="E38" s="10">
        <f t="shared" si="3"/>
        <v>0</v>
      </c>
    </row>
    <row r="39" spans="1:11" ht="14.25" customHeight="1">
      <c r="A39" s="12" t="s">
        <v>38</v>
      </c>
      <c r="B39" s="12">
        <f t="shared" si="2"/>
        <v>-2</v>
      </c>
      <c r="D39" s="10">
        <f t="shared" si="4"/>
        <v>-2</v>
      </c>
      <c r="E39" s="10">
        <f t="shared" si="3"/>
        <v>0</v>
      </c>
      <c r="G39" s="10">
        <v>1</v>
      </c>
    </row>
    <row r="40" spans="1:11" ht="14.25" customHeight="1">
      <c r="A40" s="12" t="s">
        <v>39</v>
      </c>
      <c r="B40" s="12">
        <f t="shared" si="2"/>
        <v>-2</v>
      </c>
      <c r="D40" s="10">
        <f t="shared" si="4"/>
        <v>-2</v>
      </c>
      <c r="E40" s="10">
        <f t="shared" si="3"/>
        <v>0</v>
      </c>
      <c r="G40" s="10">
        <v>1</v>
      </c>
    </row>
    <row r="41" spans="1:11" ht="14.25" customHeight="1">
      <c r="A41" s="12" t="s">
        <v>40</v>
      </c>
      <c r="B41" s="12">
        <f t="shared" si="2"/>
        <v>1</v>
      </c>
      <c r="D41" s="10">
        <f t="shared" si="4"/>
        <v>1</v>
      </c>
      <c r="E41" s="10">
        <f t="shared" si="3"/>
        <v>1</v>
      </c>
      <c r="J41" s="10">
        <v>1</v>
      </c>
    </row>
    <row r="42" spans="1:11" ht="14.25" customHeight="1">
      <c r="A42" s="12" t="s">
        <v>41</v>
      </c>
      <c r="B42" s="12">
        <f t="shared" si="2"/>
        <v>-2</v>
      </c>
      <c r="D42" s="10">
        <f t="shared" si="4"/>
        <v>-2</v>
      </c>
      <c r="E42" s="10">
        <f t="shared" si="3"/>
        <v>0</v>
      </c>
      <c r="H42" s="10">
        <v>1</v>
      </c>
    </row>
    <row r="43" spans="1:11" ht="14.25" customHeight="1">
      <c r="A43" s="12" t="s">
        <v>42</v>
      </c>
      <c r="B43" s="12">
        <f t="shared" si="2"/>
        <v>-2</v>
      </c>
      <c r="D43" s="10">
        <f t="shared" si="4"/>
        <v>-2</v>
      </c>
      <c r="E43" s="10">
        <f t="shared" si="3"/>
        <v>0</v>
      </c>
      <c r="H43" s="10">
        <v>1</v>
      </c>
    </row>
    <row r="44" spans="1:11" ht="14.25" customHeight="1">
      <c r="B44" s="12">
        <f t="shared" si="2"/>
        <v>-2</v>
      </c>
      <c r="D44" s="10">
        <f>IF(F44&lt;&gt;"",IF(F44=1,IF(F44+E44=2,1,-2),F44),IF(E44=0,-2,E44))</f>
        <v>-2</v>
      </c>
      <c r="E44" s="10">
        <f t="shared" si="3"/>
        <v>0</v>
      </c>
    </row>
    <row r="45" spans="1:11" ht="14.25" customHeight="1">
      <c r="A45" s="12" t="s">
        <v>43</v>
      </c>
      <c r="B45" s="12">
        <f t="shared" si="2"/>
        <v>1</v>
      </c>
      <c r="D45" s="10">
        <f t="shared" si="4"/>
        <v>1</v>
      </c>
      <c r="E45" s="10">
        <f t="shared" si="3"/>
        <v>1</v>
      </c>
      <c r="G45" s="10">
        <v>1</v>
      </c>
      <c r="H45" s="10">
        <v>1</v>
      </c>
      <c r="I45" s="10">
        <v>1</v>
      </c>
      <c r="J45" s="10">
        <v>1</v>
      </c>
      <c r="K45" s="10">
        <v>1</v>
      </c>
    </row>
    <row r="46" spans="1:11" ht="14.25" customHeight="1">
      <c r="A46" s="12" t="s">
        <v>44</v>
      </c>
      <c r="B46" s="12">
        <f t="shared" ref="B46:B48" si="9">D46</f>
        <v>-2</v>
      </c>
      <c r="D46" s="10">
        <f t="shared" ref="D46:D48" si="10">IF(F46&lt;&gt;"",IF(F46=1,IF(F46+E46=2,1,-2),F46),IF(E46=0,-2,E46))</f>
        <v>-2</v>
      </c>
      <c r="E46" s="10">
        <f t="shared" ref="E46:E48" si="11">IF(cst__output_sheetname="", 1, 0)+IF(AND(I46=1,I$2=1), 1, 0)+IF(AND(J46=1,J$2=1), 1, 0)+IF(AND(H46=1,H$2=1), 1, 0)+IF(AND(G46=1,G$2=1), 1, 0)+IF(AND(K46=1,K$2=1), 1, 0)</f>
        <v>0</v>
      </c>
      <c r="G46" s="10">
        <v>1</v>
      </c>
    </row>
    <row r="47" spans="1:11" ht="14.25" customHeight="1">
      <c r="A47" s="12" t="s">
        <v>45</v>
      </c>
      <c r="B47" s="12">
        <f t="shared" si="9"/>
        <v>-2</v>
      </c>
      <c r="D47" s="10">
        <f t="shared" si="10"/>
        <v>-2</v>
      </c>
      <c r="E47" s="10">
        <f t="shared" si="11"/>
        <v>0</v>
      </c>
      <c r="G47" s="10">
        <v>1</v>
      </c>
    </row>
    <row r="48" spans="1:11" ht="14.25" customHeight="1">
      <c r="A48" s="12" t="s">
        <v>46</v>
      </c>
      <c r="B48" s="12">
        <f t="shared" si="9"/>
        <v>-2</v>
      </c>
      <c r="D48" s="10">
        <f t="shared" si="10"/>
        <v>-2</v>
      </c>
      <c r="E48" s="10">
        <f t="shared" si="11"/>
        <v>0</v>
      </c>
      <c r="G48" s="10">
        <v>1</v>
      </c>
    </row>
    <row r="49" spans="1:10" ht="14.25" customHeight="1">
      <c r="A49" s="12" t="s">
        <v>47</v>
      </c>
      <c r="B49" s="12">
        <f t="shared" ref="B49" si="12">D49</f>
        <v>1</v>
      </c>
      <c r="D49" s="10">
        <f t="shared" ref="D49" si="13">IF(F49&lt;&gt;"",IF(F49=1,IF(F49+E49=2,1,-2),F49),IF(E49=0,-2,E49))</f>
        <v>1</v>
      </c>
      <c r="E49" s="10">
        <f t="shared" ref="E49" si="14">IF(cst__output_sheetname="", 1, 0)+IF(AND(I49=1,I$2=1), 1, 0)+IF(AND(J49=1,J$2=1), 1, 0)+IF(AND(H49=1,H$2=1), 1, 0)+IF(AND(G49=1,G$2=1), 1, 0)+IF(AND(K49=1,K$2=1), 1, 0)</f>
        <v>1</v>
      </c>
      <c r="I49" s="10">
        <v>1</v>
      </c>
      <c r="J49" s="10">
        <v>1</v>
      </c>
    </row>
    <row r="51" spans="1:10" ht="14.25" customHeight="1">
      <c r="A51" s="12" t="s">
        <v>48</v>
      </c>
      <c r="B51" s="12">
        <v>-2</v>
      </c>
    </row>
    <row r="52" spans="1:10" ht="14.25" customHeight="1">
      <c r="A52" s="12" t="s">
        <v>49</v>
      </c>
      <c r="B52" s="12">
        <v>-2</v>
      </c>
    </row>
    <row r="53" spans="1:10" ht="14.25" customHeight="1">
      <c r="A53" s="12" t="s">
        <v>50</v>
      </c>
      <c r="B53" s="12">
        <f t="shared" si="2"/>
        <v>-2</v>
      </c>
      <c r="D53" s="10">
        <f t="shared" si="4"/>
        <v>-2</v>
      </c>
      <c r="E53" s="10">
        <f t="shared" si="3"/>
        <v>0</v>
      </c>
      <c r="G53" s="10">
        <v>1</v>
      </c>
      <c r="H53" s="10">
        <v>1</v>
      </c>
    </row>
    <row r="55" spans="1:10" ht="14.25" customHeight="1">
      <c r="A55" s="65" t="s">
        <v>51</v>
      </c>
      <c r="B55" s="12">
        <f>D55</f>
        <v>0</v>
      </c>
    </row>
    <row r="57" spans="1:10" ht="14.25" customHeight="1">
      <c r="A57" s="13" t="s">
        <v>52</v>
      </c>
    </row>
    <row r="58" spans="1:10" ht="14.25" customHeight="1">
      <c r="A58" s="13" t="s">
        <v>53</v>
      </c>
    </row>
  </sheetData>
  <mergeCells count="1">
    <mergeCell ref="D1:E1"/>
  </mergeCells>
  <phoneticPr fontId="116"/>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E1:G69"/>
  <sheetViews>
    <sheetView topLeftCell="A40" workbookViewId="0">
      <selection activeCell="E56" sqref="E56"/>
    </sheetView>
  </sheetViews>
  <sheetFormatPr defaultColWidth="9" defaultRowHeight="18.75" customHeight="1"/>
  <cols>
    <col min="1" max="3" width="2.75" style="15" customWidth="1"/>
    <col min="4" max="4" width="4.125" style="15" customWidth="1"/>
    <col min="5" max="5" width="23.375" style="195" customWidth="1"/>
    <col min="6" max="6" width="9" style="15" customWidth="1"/>
    <col min="7" max="7" width="50.625" style="15" customWidth="1"/>
    <col min="8" max="8" width="9" style="15" customWidth="1"/>
    <col min="9" max="16384" width="9" style="15"/>
  </cols>
  <sheetData>
    <row r="1" spans="5:7" ht="18.75" customHeight="1">
      <c r="E1" s="195" t="s">
        <v>54</v>
      </c>
      <c r="G1" s="116" t="s">
        <v>55</v>
      </c>
    </row>
    <row r="2" spans="5:7" ht="18.75" customHeight="1">
      <c r="E2" s="386">
        <v>43662</v>
      </c>
      <c r="F2" t="s">
        <v>56</v>
      </c>
      <c r="G2" t="s">
        <v>57</v>
      </c>
    </row>
    <row r="3" spans="5:7" ht="18.75" customHeight="1">
      <c r="E3" s="386">
        <v>43711</v>
      </c>
      <c r="F3" t="s">
        <v>58</v>
      </c>
      <c r="G3" t="s">
        <v>59</v>
      </c>
    </row>
    <row r="4" spans="5:7" ht="18.75" customHeight="1">
      <c r="E4" s="386">
        <v>43712</v>
      </c>
      <c r="F4" t="s">
        <v>58</v>
      </c>
      <c r="G4" t="s">
        <v>60</v>
      </c>
    </row>
    <row r="5" spans="5:7" ht="18.75" customHeight="1">
      <c r="E5" s="386">
        <v>43718</v>
      </c>
      <c r="F5" t="s">
        <v>58</v>
      </c>
      <c r="G5" t="s">
        <v>61</v>
      </c>
    </row>
    <row r="6" spans="5:7" ht="18.75" customHeight="1">
      <c r="E6" s="386">
        <v>43719</v>
      </c>
      <c r="F6" t="s">
        <v>58</v>
      </c>
      <c r="G6" t="s">
        <v>62</v>
      </c>
    </row>
    <row r="7" spans="5:7" ht="18.75" customHeight="1">
      <c r="E7" s="386">
        <v>43811</v>
      </c>
      <c r="F7" t="s">
        <v>63</v>
      </c>
      <c r="G7" t="s">
        <v>64</v>
      </c>
    </row>
    <row r="8" spans="5:7" ht="18.75" customHeight="1">
      <c r="E8" s="386">
        <v>43822</v>
      </c>
      <c r="F8" t="s">
        <v>63</v>
      </c>
      <c r="G8" t="s">
        <v>65</v>
      </c>
    </row>
    <row r="9" spans="5:7" ht="18.75" customHeight="1">
      <c r="E9" s="386">
        <v>43866</v>
      </c>
      <c r="F9" t="s">
        <v>58</v>
      </c>
      <c r="G9" t="s">
        <v>66</v>
      </c>
    </row>
    <row r="10" spans="5:7" ht="18.75" customHeight="1">
      <c r="E10" s="386"/>
      <c r="F10"/>
      <c r="G10" t="s">
        <v>67</v>
      </c>
    </row>
    <row r="11" spans="5:7" ht="18.75" customHeight="1">
      <c r="E11" s="386"/>
      <c r="F11"/>
      <c r="G11"/>
    </row>
    <row r="12" spans="5:7" ht="18.75" customHeight="1">
      <c r="E12" s="386">
        <v>43868</v>
      </c>
      <c r="F12" t="s">
        <v>56</v>
      </c>
      <c r="G12" t="s">
        <v>68</v>
      </c>
    </row>
    <row r="13" spans="5:7" ht="18.75" customHeight="1">
      <c r="E13" s="386"/>
      <c r="F13"/>
      <c r="G13" t="s">
        <v>69</v>
      </c>
    </row>
    <row r="14" spans="5:7" ht="18.75" customHeight="1">
      <c r="E14" s="386">
        <v>43908</v>
      </c>
      <c r="F14" t="s">
        <v>63</v>
      </c>
      <c r="G14" s="387" t="s">
        <v>70</v>
      </c>
    </row>
    <row r="15" spans="5:7" ht="18.75" customHeight="1">
      <c r="E15" s="386"/>
      <c r="F15"/>
      <c r="G15" s="387" t="s">
        <v>71</v>
      </c>
    </row>
    <row r="16" spans="5:7" ht="18.75" customHeight="1">
      <c r="E16" s="386"/>
      <c r="F16"/>
      <c r="G16"/>
    </row>
    <row r="17" spans="5:7" ht="18.75" customHeight="1">
      <c r="E17" s="386">
        <v>43958</v>
      </c>
      <c r="F17" t="s">
        <v>58</v>
      </c>
      <c r="G17" t="s">
        <v>72</v>
      </c>
    </row>
    <row r="18" spans="5:7" ht="18.75" customHeight="1">
      <c r="E18" s="386">
        <v>43962</v>
      </c>
      <c r="F18" t="s">
        <v>58</v>
      </c>
      <c r="G18" t="s">
        <v>73</v>
      </c>
    </row>
    <row r="19" spans="5:7" ht="18.75" customHeight="1">
      <c r="E19" s="386">
        <v>43965</v>
      </c>
      <c r="F19" t="s">
        <v>63</v>
      </c>
      <c r="G19" t="s">
        <v>74</v>
      </c>
    </row>
    <row r="20" spans="5:7" ht="18.75" customHeight="1">
      <c r="E20" s="386">
        <v>43987</v>
      </c>
      <c r="F20" t="s">
        <v>58</v>
      </c>
      <c r="G20" t="s">
        <v>75</v>
      </c>
    </row>
    <row r="21" spans="5:7" ht="18.75" customHeight="1">
      <c r="E21" s="386"/>
      <c r="F21"/>
      <c r="G21" t="s">
        <v>76</v>
      </c>
    </row>
    <row r="22" spans="5:7" ht="18.75" customHeight="1">
      <c r="E22" s="386">
        <v>43990</v>
      </c>
      <c r="F22" t="s">
        <v>56</v>
      </c>
      <c r="G22" t="s">
        <v>77</v>
      </c>
    </row>
    <row r="23" spans="5:7" ht="18.75" customHeight="1">
      <c r="E23" s="386">
        <v>43997</v>
      </c>
      <c r="F23" t="s">
        <v>63</v>
      </c>
      <c r="G23" t="s">
        <v>78</v>
      </c>
    </row>
    <row r="24" spans="5:7" ht="18.75" customHeight="1">
      <c r="E24" s="386">
        <v>43997</v>
      </c>
      <c r="F24" t="s">
        <v>56</v>
      </c>
      <c r="G24" t="s">
        <v>79</v>
      </c>
    </row>
    <row r="25" spans="5:7" ht="18.75" customHeight="1">
      <c r="E25" s="386">
        <v>43998</v>
      </c>
      <c r="F25" t="s">
        <v>56</v>
      </c>
      <c r="G25" t="s">
        <v>80</v>
      </c>
    </row>
    <row r="26" spans="5:7" ht="18.75" customHeight="1">
      <c r="E26" s="386">
        <v>44005</v>
      </c>
      <c r="F26" t="s">
        <v>58</v>
      </c>
      <c r="G26" t="s">
        <v>81</v>
      </c>
    </row>
    <row r="27" spans="5:7" ht="18.75" customHeight="1">
      <c r="E27" s="386">
        <v>44106</v>
      </c>
      <c r="F27" t="s">
        <v>63</v>
      </c>
      <c r="G27" t="s">
        <v>82</v>
      </c>
    </row>
    <row r="28" spans="5:7" ht="18.75" customHeight="1">
      <c r="E28" s="386">
        <v>44110</v>
      </c>
      <c r="F28" t="s">
        <v>58</v>
      </c>
      <c r="G28" t="s">
        <v>83</v>
      </c>
    </row>
    <row r="29" spans="5:7" ht="18.75" customHeight="1">
      <c r="E29" s="386">
        <v>44117</v>
      </c>
      <c r="F29" t="s">
        <v>56</v>
      </c>
      <c r="G29" t="s">
        <v>84</v>
      </c>
    </row>
    <row r="30" spans="5:7" ht="18.75" customHeight="1">
      <c r="E30" s="386">
        <v>44147</v>
      </c>
      <c r="F30" t="s">
        <v>85</v>
      </c>
      <c r="G30" t="s">
        <v>86</v>
      </c>
    </row>
    <row r="31" spans="5:7" ht="18.75" customHeight="1">
      <c r="E31" s="386">
        <v>44174</v>
      </c>
      <c r="F31" t="s">
        <v>63</v>
      </c>
      <c r="G31" t="s">
        <v>87</v>
      </c>
    </row>
    <row r="32" spans="5:7" ht="18.75" customHeight="1">
      <c r="E32" s="386">
        <v>44183</v>
      </c>
      <c r="F32" t="s">
        <v>56</v>
      </c>
      <c r="G32" t="s">
        <v>88</v>
      </c>
    </row>
    <row r="33" spans="5:7" ht="18.75" customHeight="1">
      <c r="E33" s="386">
        <v>44202</v>
      </c>
      <c r="F33" t="s">
        <v>63</v>
      </c>
      <c r="G33" t="s">
        <v>89</v>
      </c>
    </row>
    <row r="34" spans="5:7" ht="18.75" customHeight="1">
      <c r="E34" s="386">
        <v>44203</v>
      </c>
      <c r="F34" t="s">
        <v>63</v>
      </c>
      <c r="G34" t="s">
        <v>90</v>
      </c>
    </row>
    <row r="35" spans="5:7" ht="18.75" customHeight="1">
      <c r="E35" s="386">
        <v>44337</v>
      </c>
      <c r="F35" t="s">
        <v>56</v>
      </c>
      <c r="G35" t="s">
        <v>91</v>
      </c>
    </row>
    <row r="36" spans="5:7" ht="18.75" customHeight="1">
      <c r="E36" s="386">
        <v>44337</v>
      </c>
      <c r="F36" t="s">
        <v>56</v>
      </c>
      <c r="G36" t="s">
        <v>92</v>
      </c>
    </row>
    <row r="37" spans="5:7" ht="18.75" customHeight="1">
      <c r="E37" s="386">
        <v>44398</v>
      </c>
      <c r="F37" t="s">
        <v>63</v>
      </c>
      <c r="G37" t="s">
        <v>93</v>
      </c>
    </row>
    <row r="38" spans="5:7" ht="18.75" customHeight="1">
      <c r="E38" s="386">
        <v>44435</v>
      </c>
      <c r="F38" t="s">
        <v>58</v>
      </c>
      <c r="G38" t="s">
        <v>94</v>
      </c>
    </row>
    <row r="39" spans="5:7" ht="18.75" customHeight="1">
      <c r="E39" s="386">
        <v>44442</v>
      </c>
      <c r="F39" t="s">
        <v>95</v>
      </c>
      <c r="G39" t="s">
        <v>96</v>
      </c>
    </row>
    <row r="40" spans="5:7" ht="18.75" customHeight="1">
      <c r="E40" s="386">
        <v>44635</v>
      </c>
      <c r="F40" t="s">
        <v>56</v>
      </c>
      <c r="G40" t="s">
        <v>97</v>
      </c>
    </row>
    <row r="41" spans="5:7" ht="18.75" customHeight="1">
      <c r="E41" s="386">
        <v>44636</v>
      </c>
      <c r="F41" t="s">
        <v>56</v>
      </c>
      <c r="G41" t="s">
        <v>98</v>
      </c>
    </row>
    <row r="42" spans="5:7" ht="18.75" customHeight="1">
      <c r="E42" s="386">
        <v>44643</v>
      </c>
      <c r="F42" t="s">
        <v>58</v>
      </c>
      <c r="G42" t="s">
        <v>99</v>
      </c>
    </row>
    <row r="43" spans="5:7" ht="18.75" customHeight="1">
      <c r="E43" s="386">
        <v>44648</v>
      </c>
      <c r="F43" t="s">
        <v>56</v>
      </c>
      <c r="G43" t="s">
        <v>100</v>
      </c>
    </row>
    <row r="44" spans="5:7" ht="18.75" customHeight="1">
      <c r="E44" s="386">
        <v>44652</v>
      </c>
      <c r="F44" t="s">
        <v>56</v>
      </c>
      <c r="G44" t="s">
        <v>101</v>
      </c>
    </row>
    <row r="45" spans="5:7" ht="18.75" customHeight="1">
      <c r="E45" s="386">
        <v>44658</v>
      </c>
      <c r="F45" t="s">
        <v>56</v>
      </c>
      <c r="G45" t="s">
        <v>102</v>
      </c>
    </row>
    <row r="46" spans="5:7" ht="18.75" customHeight="1">
      <c r="E46" s="386">
        <v>44725</v>
      </c>
      <c r="F46" t="s">
        <v>103</v>
      </c>
      <c r="G46" t="s">
        <v>104</v>
      </c>
    </row>
    <row r="47" spans="5:7" ht="18.75" customHeight="1">
      <c r="E47" s="386">
        <v>44971</v>
      </c>
      <c r="F47" t="s">
        <v>63</v>
      </c>
      <c r="G47" t="s">
        <v>105</v>
      </c>
    </row>
    <row r="48" spans="5:7" ht="18.75" customHeight="1">
      <c r="E48" s="386">
        <v>44994</v>
      </c>
      <c r="F48" t="s">
        <v>63</v>
      </c>
      <c r="G48" t="s">
        <v>106</v>
      </c>
    </row>
    <row r="49" spans="5:7" ht="18.75" customHeight="1">
      <c r="E49" s="386">
        <v>45163</v>
      </c>
      <c r="F49" t="s">
        <v>107</v>
      </c>
      <c r="G49" t="s">
        <v>108</v>
      </c>
    </row>
    <row r="50" spans="5:7" ht="18.75" customHeight="1">
      <c r="E50" s="386">
        <v>45222</v>
      </c>
      <c r="F50" t="s">
        <v>63</v>
      </c>
      <c r="G50" t="s">
        <v>109</v>
      </c>
    </row>
    <row r="51" spans="5:7" ht="18.75" customHeight="1">
      <c r="E51" s="386">
        <v>45230</v>
      </c>
      <c r="F51" t="s">
        <v>107</v>
      </c>
      <c r="G51" t="s">
        <v>110</v>
      </c>
    </row>
    <row r="52" spans="5:7" ht="18.75" customHeight="1">
      <c r="E52" s="386">
        <v>45358</v>
      </c>
      <c r="F52" t="s">
        <v>107</v>
      </c>
      <c r="G52" t="s">
        <v>111</v>
      </c>
    </row>
    <row r="53" spans="5:7" ht="18.75" customHeight="1">
      <c r="E53" s="386">
        <v>45390</v>
      </c>
      <c r="F53" t="s">
        <v>107</v>
      </c>
      <c r="G53" t="s">
        <v>112</v>
      </c>
    </row>
    <row r="54" spans="5:7" ht="18.75" customHeight="1">
      <c r="E54" s="386">
        <v>45565</v>
      </c>
      <c r="F54" t="s">
        <v>58</v>
      </c>
      <c r="G54" t="s">
        <v>106</v>
      </c>
    </row>
    <row r="55" spans="5:7" ht="18.75" customHeight="1">
      <c r="E55" s="386">
        <v>45574</v>
      </c>
      <c r="F55" t="s">
        <v>113</v>
      </c>
      <c r="G55" t="s">
        <v>114</v>
      </c>
    </row>
    <row r="56" spans="5:7" ht="18.75" customHeight="1">
      <c r="E56" s="386">
        <v>45611</v>
      </c>
      <c r="F56" t="s">
        <v>115</v>
      </c>
      <c r="G56" t="s">
        <v>116</v>
      </c>
    </row>
    <row r="57" spans="5:7" ht="18.75" customHeight="1">
      <c r="E57" s="386"/>
      <c r="F57"/>
      <c r="G57" s="387"/>
    </row>
    <row r="58" spans="5:7" ht="18.75" customHeight="1">
      <c r="E58" s="386"/>
      <c r="F58"/>
      <c r="G58"/>
    </row>
    <row r="59" spans="5:7" ht="18.75" customHeight="1">
      <c r="E59" s="386"/>
      <c r="F59"/>
      <c r="G59"/>
    </row>
    <row r="60" spans="5:7" ht="18.75" customHeight="1">
      <c r="E60" s="386"/>
      <c r="F60"/>
      <c r="G60"/>
    </row>
    <row r="61" spans="5:7" ht="18.75" customHeight="1">
      <c r="E61" s="386"/>
      <c r="F61"/>
      <c r="G61"/>
    </row>
    <row r="62" spans="5:7" ht="18.75" customHeight="1">
      <c r="E62" s="386"/>
      <c r="F62"/>
      <c r="G62"/>
    </row>
    <row r="63" spans="5:7" ht="18.75" customHeight="1">
      <c r="E63" s="386"/>
      <c r="F63"/>
      <c r="G63"/>
    </row>
    <row r="64" spans="5:7" ht="18.75" customHeight="1">
      <c r="E64" s="386"/>
      <c r="F64"/>
      <c r="G64"/>
    </row>
    <row r="65" spans="5:7" ht="18.75" customHeight="1">
      <c r="E65" s="386"/>
      <c r="F65"/>
      <c r="G65"/>
    </row>
    <row r="66" spans="5:7" ht="18.75" customHeight="1">
      <c r="E66" s="386"/>
      <c r="F66"/>
      <c r="G66"/>
    </row>
    <row r="67" spans="5:7" ht="18.75" customHeight="1">
      <c r="E67" s="386"/>
      <c r="F67"/>
      <c r="G67"/>
    </row>
    <row r="68" spans="5:7" ht="18.75" customHeight="1">
      <c r="E68" s="386"/>
      <c r="F68"/>
      <c r="G68"/>
    </row>
    <row r="69" spans="5:7" ht="18.75" customHeight="1">
      <c r="E69" s="386"/>
      <c r="F69"/>
      <c r="G69"/>
    </row>
  </sheetData>
  <phoneticPr fontId="1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6:V1331"/>
  <sheetViews>
    <sheetView zoomScaleNormal="100" workbookViewId="0">
      <pane xSplit="2" ySplit="6" topLeftCell="C59" activePane="bottomRight" state="frozen"/>
      <selection pane="topRight"/>
      <selection pane="bottomLeft"/>
      <selection pane="bottomRight" activeCell="F81" sqref="F81"/>
    </sheetView>
  </sheetViews>
  <sheetFormatPr defaultColWidth="9" defaultRowHeight="15" customHeight="1"/>
  <cols>
    <col min="1" max="1" width="15.625" style="15" customWidth="1"/>
    <col min="2" max="2" width="31.375" style="15" customWidth="1"/>
    <col min="3" max="3" width="37.875" style="15" customWidth="1"/>
    <col min="4" max="4" width="15.625" style="15" customWidth="1"/>
    <col min="5" max="5" width="42.25" style="15" customWidth="1"/>
    <col min="6" max="6" width="27.625" style="15" customWidth="1"/>
    <col min="7" max="7" width="35.625" style="15" customWidth="1"/>
    <col min="8" max="8" width="9" style="15" customWidth="1"/>
    <col min="9" max="16384" width="9" style="15"/>
  </cols>
  <sheetData>
    <row r="6" spans="1:8" ht="15" customHeight="1">
      <c r="A6" s="15" t="s">
        <v>117</v>
      </c>
      <c r="C6" s="15" t="s">
        <v>118</v>
      </c>
      <c r="D6" s="15" t="s">
        <v>119</v>
      </c>
      <c r="E6" s="15" t="s">
        <v>120</v>
      </c>
      <c r="F6" s="15" t="s">
        <v>121</v>
      </c>
      <c r="G6" s="116" t="s">
        <v>2</v>
      </c>
    </row>
    <row r="7" spans="1:8" ht="15" customHeight="1">
      <c r="A7" s="1" t="s">
        <v>122</v>
      </c>
      <c r="B7" s="722"/>
      <c r="C7" s="15" t="s">
        <v>123</v>
      </c>
      <c r="D7" s="141"/>
      <c r="E7" s="15" t="s">
        <v>124</v>
      </c>
      <c r="F7" s="141" t="str">
        <f>IF(_output_title="","",_output_title)</f>
        <v/>
      </c>
    </row>
    <row r="8" spans="1:8" ht="15" customHeight="1">
      <c r="A8" s="8"/>
      <c r="B8" s="115"/>
      <c r="D8" s="141"/>
      <c r="F8" s="141"/>
    </row>
    <row r="9" spans="1:8" ht="15" customHeight="1">
      <c r="A9" s="1" t="s">
        <v>125</v>
      </c>
      <c r="B9" s="722"/>
      <c r="C9" s="15" t="s">
        <v>126</v>
      </c>
      <c r="D9" s="141" t="s">
        <v>8</v>
      </c>
      <c r="E9" s="15" t="s">
        <v>127</v>
      </c>
      <c r="F9" s="141" t="str">
        <f>IF(_output_sheetname="","",_output_sheetname)</f>
        <v>完了検査添付書類</v>
      </c>
    </row>
    <row r="10" spans="1:8" ht="15" customHeight="1">
      <c r="A10" s="8"/>
      <c r="B10" s="115"/>
      <c r="D10" s="141"/>
      <c r="F10" s="141"/>
    </row>
    <row r="11" spans="1:8" ht="15" customHeight="1">
      <c r="A11" s="49" t="s">
        <v>128</v>
      </c>
      <c r="B11" s="723"/>
      <c r="C11" s="15" t="s">
        <v>129</v>
      </c>
      <c r="D11" s="141" t="s">
        <v>130</v>
      </c>
      <c r="E11" s="15" t="s">
        <v>131</v>
      </c>
      <c r="F11" s="141" t="str">
        <f>IF(wsjob_TARGET_KIND__label="","",wsjob_TARGET_KIND__label)</f>
        <v>建築物</v>
      </c>
      <c r="G11" s="18"/>
      <c r="H11" s="18"/>
    </row>
    <row r="12" spans="1:8" ht="62.1" customHeight="1">
      <c r="A12" s="83"/>
      <c r="B12" s="77" t="s">
        <v>132</v>
      </c>
      <c r="C12" s="15" t="s">
        <v>133</v>
      </c>
      <c r="D12" s="141">
        <v>100</v>
      </c>
      <c r="E12" s="15" t="s">
        <v>134</v>
      </c>
      <c r="F12" s="141" t="str">
        <f ca="1">IF(wsjob_JOB_SET_KIND="","",IF(ISERROR(MATCH(wsjob_JOB_SET_KIND,cls_JOB_SET_KIND_erea,0)),"未設定コード",OFFSET(cls_JOB_SET_KIND_base_point,MATCH(wsjob_JOB_SET_KIND,cls_JOB_SET_KIND_erea,0),0)))</f>
        <v>基準法</v>
      </c>
      <c r="G12" s="57" t="s">
        <v>135</v>
      </c>
      <c r="H12" s="18"/>
    </row>
    <row r="13" spans="1:8" ht="62.1" customHeight="1">
      <c r="A13" s="83"/>
      <c r="B13" s="77" t="s">
        <v>136</v>
      </c>
      <c r="C13" s="15" t="s">
        <v>137</v>
      </c>
      <c r="D13" s="141">
        <v>1</v>
      </c>
      <c r="E13" s="15" t="s">
        <v>138</v>
      </c>
      <c r="F13" s="141" t="str">
        <f ca="1">IF(wsjob_TARGET_KIND="","",IF(ISERROR(MATCH(wsjob_TARGET_KIND,cls_TARGET_KIND_erea,0)),"未設定コード",OFFSET(cls_TARGET_KIND_base_point,MATCH(wsjob_TARGET_KIND,cls_TARGET_KIND_erea,0),0)))</f>
        <v>建築物</v>
      </c>
      <c r="G13" s="57" t="s">
        <v>139</v>
      </c>
      <c r="H13" s="18"/>
    </row>
    <row r="14" spans="1:8" ht="16.5" customHeight="1">
      <c r="A14" s="83"/>
      <c r="B14" s="77" t="s">
        <v>130</v>
      </c>
      <c r="D14" s="18"/>
      <c r="E14" s="15" t="s">
        <v>140</v>
      </c>
      <c r="F14" s="141" t="str">
        <f ca="1">IF(cst_wsjob_TARGET_KIND="建築物","■","□")</f>
        <v>■</v>
      </c>
      <c r="G14" s="57"/>
      <c r="H14" s="18"/>
    </row>
    <row r="15" spans="1:8" ht="16.5" customHeight="1">
      <c r="A15" s="83"/>
      <c r="B15" s="77" t="s">
        <v>141</v>
      </c>
      <c r="D15" s="18"/>
      <c r="E15" s="15" t="s">
        <v>142</v>
      </c>
      <c r="F15" s="141" t="str">
        <f ca="1">IF(cst_wsjob_TARGET_KIND="昇降機","■","□")</f>
        <v>□</v>
      </c>
      <c r="G15" s="57"/>
      <c r="H15" s="18"/>
    </row>
    <row r="16" spans="1:8" ht="16.5" customHeight="1">
      <c r="A16" s="83"/>
      <c r="B16" s="77" t="s">
        <v>143</v>
      </c>
      <c r="D16" s="18"/>
      <c r="E16" s="15" t="s">
        <v>144</v>
      </c>
      <c r="F16" s="141" t="str">
        <f ca="1">IF(cst_wsjob_TARGET_KIND="工作物","■","□")</f>
        <v>□</v>
      </c>
      <c r="G16" s="57"/>
      <c r="H16" s="18"/>
    </row>
    <row r="17" spans="1:8" ht="62.1" customHeight="1">
      <c r="A17" s="83"/>
      <c r="B17" s="77" t="s">
        <v>145</v>
      </c>
      <c r="C17" s="15" t="s">
        <v>146</v>
      </c>
      <c r="D17" s="141">
        <v>101</v>
      </c>
      <c r="E17" s="15" t="s">
        <v>147</v>
      </c>
      <c r="F17" s="141" t="str">
        <f ca="1">IF(wsjob_JOB_KIND="","",IF(ISERROR(MATCH(wsjob_JOB_KIND,cls_JOB_KIND_erea,0)),"未設定コード",OFFSET(cls_JOB_KIND_base_point,MATCH(wsjob_JOB_KIND,cls_JOB_KIND_erea,0),0)))</f>
        <v>確認申請</v>
      </c>
      <c r="G17" s="57" t="s">
        <v>148</v>
      </c>
      <c r="H17" s="18"/>
    </row>
    <row r="18" spans="1:8" ht="16.5" customHeight="1">
      <c r="A18" s="83"/>
      <c r="B18" s="138"/>
      <c r="D18" s="18"/>
      <c r="E18" s="15" t="s">
        <v>149</v>
      </c>
      <c r="F18" s="141" t="str">
        <f>IF(wsjob_JOB_KIND=101,"■","□")</f>
        <v>■</v>
      </c>
      <c r="G18" s="57"/>
      <c r="H18" s="18"/>
    </row>
    <row r="19" spans="1:8" ht="16.5" customHeight="1">
      <c r="A19" s="83"/>
      <c r="B19" s="138"/>
      <c r="D19" s="18"/>
      <c r="E19" s="15" t="s">
        <v>150</v>
      </c>
      <c r="F19" s="141" t="str">
        <f>IF(wsjob_JOB_KIND=103,"■","□")</f>
        <v>□</v>
      </c>
      <c r="G19" s="57"/>
      <c r="H19" s="18"/>
    </row>
    <row r="20" spans="1:8" ht="16.5" customHeight="1">
      <c r="A20" s="83"/>
      <c r="B20" s="138"/>
      <c r="D20" s="18"/>
      <c r="E20" s="15" t="s">
        <v>151</v>
      </c>
      <c r="F20" s="141" t="str">
        <f>IF(wsjob_JOB_KIND=104,"■","□")</f>
        <v>□</v>
      </c>
      <c r="G20" s="57"/>
      <c r="H20" s="18"/>
    </row>
    <row r="21" spans="1:8" ht="15" customHeight="1">
      <c r="A21" s="84"/>
      <c r="B21" s="85"/>
      <c r="F21" s="18"/>
      <c r="G21" s="18"/>
      <c r="H21" s="18"/>
    </row>
    <row r="22" spans="1:8" ht="15" customHeight="1">
      <c r="A22" s="129"/>
      <c r="B22" s="130"/>
      <c r="D22" s="18"/>
      <c r="F22" s="18"/>
      <c r="G22" s="18"/>
      <c r="H22" s="18"/>
    </row>
    <row r="23" spans="1:8" ht="15" customHeight="1">
      <c r="A23" s="143" t="s">
        <v>152</v>
      </c>
      <c r="B23" s="724"/>
    </row>
    <row r="24" spans="1:8" ht="15" customHeight="1">
      <c r="A24" s="144"/>
      <c r="B24" s="146" t="s">
        <v>153</v>
      </c>
      <c r="E24" s="15" t="s">
        <v>154</v>
      </c>
      <c r="F24" s="47">
        <f ca="1">IF(wsjob_JOB_KIND="","",IF(ISERROR(MATCH(wsjob_JOB_KIND,cls_JOB_KIND_erea,0)),"",OFFSET(cls_JOB_KIND_base_point,MATCH(wsjob_JOB_KIND,cls_JOB_KIND_erea,0),1)))</f>
        <v>1</v>
      </c>
      <c r="G24" s="15" t="s">
        <v>155</v>
      </c>
    </row>
    <row r="25" spans="1:8" ht="15" customHeight="1">
      <c r="A25" s="144"/>
      <c r="B25" s="146" t="s">
        <v>156</v>
      </c>
      <c r="E25" s="15" t="s">
        <v>157</v>
      </c>
      <c r="F25" s="47" t="str">
        <f ca="1">IF(AND(chk_JOB_KIND_kakunin=1,wskakunin_koutei01_KOUTEI_TEXT&lt;&gt;""),1,"")</f>
        <v/>
      </c>
    </row>
    <row r="26" spans="1:8" ht="15" customHeight="1">
      <c r="A26" s="144"/>
      <c r="B26" s="146" t="s">
        <v>158</v>
      </c>
      <c r="E26" s="15" t="s">
        <v>159</v>
      </c>
      <c r="F26" s="47" t="str">
        <f ca="1">IF(AND(chk_JOB_KIND_kakunin=1,wskakunin_koutei02_KOUTEI_TEXT&lt;&gt;""),1,"")</f>
        <v/>
      </c>
    </row>
    <row r="27" spans="1:8" ht="15" customHeight="1">
      <c r="A27" s="144"/>
      <c r="B27" s="146" t="s">
        <v>160</v>
      </c>
      <c r="E27" s="15" t="s">
        <v>161</v>
      </c>
      <c r="F27" s="47" t="str">
        <f ca="1">IF(AND(chk_JOB_KIND_kakunin=1,wskakunin_koutei03_KOUTEI_TEXT&lt;&gt;""),1,"")</f>
        <v/>
      </c>
    </row>
    <row r="28" spans="1:8" ht="15" customHeight="1">
      <c r="A28" s="144"/>
      <c r="B28" s="170" t="s">
        <v>162</v>
      </c>
      <c r="E28" s="15" t="s">
        <v>163</v>
      </c>
      <c r="F28" s="47">
        <f ca="1">IF(chk_JOB_KIND_kakunin=3,IF(wskakunin_koutei_izen01_KOUTEI_TEXT="",30,IF(wskakunin_koutei_izen02_KOUTEI_TEXT&lt;&gt;"",32,31)),IF(chk_JOB_KIND_kakunin=1,10,IF(chk_JOB_KIND_kakunin=4,40,"")))</f>
        <v>10</v>
      </c>
      <c r="G28" s="15" t="s">
        <v>164</v>
      </c>
    </row>
    <row r="29" spans="1:8" ht="15" customHeight="1">
      <c r="A29" s="144"/>
      <c r="B29" s="170" t="s">
        <v>165</v>
      </c>
      <c r="E29" s="15" t="s">
        <v>166</v>
      </c>
      <c r="F29" s="47" t="str">
        <f ca="1">IF(chk_JOB_KIND_kakunin=1,cst_shinsei_ISSUE_NO,cst_wskakunin_LAST_ISSUE_NO)</f>
        <v/>
      </c>
      <c r="G29" s="15" t="s">
        <v>167</v>
      </c>
    </row>
    <row r="30" spans="1:8" ht="15" customHeight="1">
      <c r="A30" s="145"/>
      <c r="B30" s="147"/>
      <c r="E30" s="15" t="s">
        <v>168</v>
      </c>
      <c r="F30" s="47" t="str">
        <f ca="1">IF(chk_JOB_KIND_kakunin=1,cst_shinsei_ISSUE_DATE,cst_wskakunin_LAST_ISSUE_DATE)</f>
        <v/>
      </c>
    </row>
    <row r="31" spans="1:8" ht="15" customHeight="1">
      <c r="A31" s="37"/>
    </row>
    <row r="32" spans="1:8" ht="15" customHeight="1">
      <c r="A32" s="209" t="s">
        <v>169</v>
      </c>
      <c r="B32" s="210"/>
      <c r="C32" s="15" t="s">
        <v>170</v>
      </c>
      <c r="D32" s="240"/>
      <c r="E32" s="15" t="s">
        <v>171</v>
      </c>
      <c r="F32" s="240" t="str">
        <f>IF(shinsei_PROVO_DATE="","",shinsei_PROVO_DATE)</f>
        <v/>
      </c>
    </row>
    <row r="33" spans="1:8" ht="15" customHeight="1">
      <c r="A33" s="209" t="s">
        <v>172</v>
      </c>
      <c r="B33" s="210"/>
      <c r="C33" s="15" t="s">
        <v>173</v>
      </c>
      <c r="D33" s="222"/>
      <c r="E33" s="15" t="s">
        <v>174</v>
      </c>
      <c r="F33" s="141" t="str">
        <f>IF(shinsei_PROVO_NO="","",shinsei_PROVO_NO)</f>
        <v/>
      </c>
    </row>
    <row r="34" spans="1:8" ht="15" customHeight="1">
      <c r="A34" s="37"/>
    </row>
    <row r="35" spans="1:8" ht="15" customHeight="1">
      <c r="A35" s="148" t="s">
        <v>175</v>
      </c>
      <c r="B35" s="149"/>
      <c r="D35" s="18"/>
      <c r="F35" s="18"/>
      <c r="G35" s="18"/>
      <c r="H35" s="18"/>
    </row>
    <row r="36" spans="1:8" ht="15" customHeight="1">
      <c r="A36" s="150" t="s">
        <v>176</v>
      </c>
      <c r="B36" s="151"/>
      <c r="C36" s="15" t="s">
        <v>177</v>
      </c>
      <c r="D36" s="220" t="s">
        <v>178</v>
      </c>
      <c r="E36" s="15" t="s">
        <v>179</v>
      </c>
      <c r="F36" s="141" t="str">
        <f>IF(shinsei_UKETUKE_NO="","",shinsei_UKETUKE_NO)</f>
        <v/>
      </c>
      <c r="G36" s="18"/>
      <c r="H36" s="18"/>
    </row>
    <row r="37" spans="1:8" ht="15" customHeight="1">
      <c r="A37" s="152"/>
      <c r="B37" s="153"/>
      <c r="D37" s="37"/>
      <c r="F37" s="18"/>
      <c r="G37" s="18"/>
      <c r="H37" s="18"/>
    </row>
    <row r="38" spans="1:8" ht="15" customHeight="1">
      <c r="A38" s="154" t="s">
        <v>180</v>
      </c>
      <c r="B38" s="155"/>
      <c r="C38" s="15" t="s">
        <v>181</v>
      </c>
      <c r="D38" s="240"/>
      <c r="E38" s="15" t="s">
        <v>182</v>
      </c>
      <c r="F38" s="240" t="str">
        <f>IF(shinsei_HIKIUKE_DATE="","",shinsei_HIKIUKE_DATE)</f>
        <v/>
      </c>
      <c r="G38" s="18"/>
      <c r="H38" s="18"/>
    </row>
    <row r="39" spans="1:8" ht="15" customHeight="1">
      <c r="A39" s="156"/>
      <c r="B39" s="157"/>
      <c r="D39" s="98"/>
      <c r="F39" s="18"/>
      <c r="G39" s="18"/>
      <c r="H39" s="18"/>
    </row>
    <row r="40" spans="1:8" ht="15" customHeight="1">
      <c r="A40" s="158" t="s">
        <v>165</v>
      </c>
      <c r="B40" s="159"/>
      <c r="C40" s="15" t="s">
        <v>183</v>
      </c>
      <c r="D40" s="220"/>
      <c r="E40" s="15" t="s">
        <v>184</v>
      </c>
      <c r="F40" s="141" t="str">
        <f>IF(shinsei_ISSUE_NO="","",shinsei_ISSUE_NO)</f>
        <v/>
      </c>
      <c r="G40" s="18"/>
      <c r="H40" s="18"/>
    </row>
    <row r="41" spans="1:8" ht="15" customHeight="1">
      <c r="A41" s="160" t="s">
        <v>165</v>
      </c>
      <c r="B41" s="218"/>
      <c r="C41" s="15" t="s">
        <v>185</v>
      </c>
      <c r="D41" s="222"/>
      <c r="E41" s="15" t="s">
        <v>186</v>
      </c>
      <c r="F41" s="141" t="str">
        <f>IF(shinsei_KAKU_SUMI_NO="","",shinsei_KAKU_SUMI_NO)</f>
        <v/>
      </c>
      <c r="G41" s="18"/>
      <c r="H41" s="18"/>
    </row>
    <row r="42" spans="1:8" ht="15" customHeight="1">
      <c r="A42" s="154" t="s">
        <v>187</v>
      </c>
      <c r="B42" s="155"/>
      <c r="G42" s="18"/>
      <c r="H42" s="18"/>
    </row>
    <row r="43" spans="1:8" ht="15" customHeight="1">
      <c r="A43" s="160"/>
      <c r="B43" s="161" t="s">
        <v>188</v>
      </c>
      <c r="C43" s="15" t="s">
        <v>189</v>
      </c>
      <c r="D43" s="240"/>
      <c r="E43" s="15" t="s">
        <v>190</v>
      </c>
      <c r="F43" s="240" t="str">
        <f>IF(shinsei_ISSUE_DATE="","",shinsei_ISSUE_DATE)</f>
        <v/>
      </c>
      <c r="G43" s="18"/>
      <c r="H43" s="18"/>
    </row>
    <row r="44" spans="1:8" ht="15" customHeight="1">
      <c r="A44" s="162"/>
      <c r="B44" s="163"/>
      <c r="D44" s="98"/>
      <c r="G44" s="18"/>
      <c r="H44" s="18"/>
    </row>
    <row r="45" spans="1:8" ht="15" customHeight="1">
      <c r="A45" s="158" t="s">
        <v>191</v>
      </c>
      <c r="B45" s="159"/>
      <c r="C45" s="18" t="s">
        <v>192</v>
      </c>
      <c r="D45" s="141"/>
      <c r="E45" s="15" t="s">
        <v>193</v>
      </c>
      <c r="F45" s="47" t="str">
        <f>IF(shinsei_ISSUE_KOUFU_NAME="","",shinsei_ISSUE_KOUFU_NAME)</f>
        <v/>
      </c>
    </row>
    <row r="46" spans="1:8" ht="15" customHeight="1">
      <c r="A46" s="158"/>
      <c r="B46" s="159"/>
      <c r="D46" s="98"/>
      <c r="G46" s="18"/>
      <c r="H46" s="18"/>
    </row>
    <row r="47" spans="1:8" ht="15" customHeight="1">
      <c r="A47" s="202" t="s">
        <v>194</v>
      </c>
      <c r="B47" s="203"/>
      <c r="D47" s="18"/>
      <c r="F47" s="18"/>
      <c r="G47" s="18"/>
      <c r="H47" s="18"/>
    </row>
    <row r="48" spans="1:8" ht="15" customHeight="1">
      <c r="A48" s="204"/>
      <c r="B48" s="205" t="s">
        <v>195</v>
      </c>
      <c r="C48" s="15" t="s">
        <v>196</v>
      </c>
      <c r="D48" s="18"/>
      <c r="E48" s="15" t="s">
        <v>197</v>
      </c>
      <c r="F48" s="18" t="str">
        <f>IF(shinsei_build_p6_01_PAGE6_KOUZOU_KEISAN_KIND__005=1,"■","□")</f>
        <v>□</v>
      </c>
      <c r="G48" s="18"/>
      <c r="H48" s="18"/>
    </row>
    <row r="49" spans="1:8" ht="15" customHeight="1">
      <c r="A49" s="204"/>
      <c r="B49" s="205" t="s">
        <v>198</v>
      </c>
      <c r="C49" s="15" t="s">
        <v>199</v>
      </c>
      <c r="D49" s="18"/>
      <c r="E49" s="15" t="s">
        <v>200</v>
      </c>
      <c r="F49" s="18" t="str">
        <f>IF(shinsei_build_p6_01_PAGE6_KOUZOU_KEISAN_KIND__004=1,"■","□")</f>
        <v>□</v>
      </c>
      <c r="G49" s="18"/>
      <c r="H49" s="18"/>
    </row>
    <row r="50" spans="1:8" ht="15" customHeight="1">
      <c r="A50" s="204"/>
      <c r="B50" s="205" t="s">
        <v>201</v>
      </c>
      <c r="C50" s="15" t="s">
        <v>202</v>
      </c>
      <c r="D50" s="18"/>
      <c r="E50" s="15" t="s">
        <v>203</v>
      </c>
      <c r="F50" s="18" t="str">
        <f>IF(shinsei_build_p6_01_PAGE6_KOUZOU_KEISAN_KIND__002=1,"■","□")</f>
        <v>□</v>
      </c>
      <c r="G50" s="18"/>
      <c r="H50" s="18"/>
    </row>
    <row r="51" spans="1:8" ht="15" customHeight="1">
      <c r="A51" s="129" t="s">
        <v>204</v>
      </c>
      <c r="B51" s="130"/>
      <c r="C51" s="15" t="s">
        <v>205</v>
      </c>
      <c r="D51" s="141" t="s">
        <v>206</v>
      </c>
      <c r="E51" s="15" t="s">
        <v>207</v>
      </c>
      <c r="F51" s="141" t="str">
        <f>IF(wskakunin_KIKAN_NAME="","",wskakunin_KIKAN_NAME)</f>
        <v>株式会社愛知建築センター</v>
      </c>
      <c r="G51" s="18"/>
      <c r="H51" s="18"/>
    </row>
    <row r="52" spans="1:8" ht="15" customHeight="1">
      <c r="A52" s="2" t="s">
        <v>208</v>
      </c>
      <c r="B52" s="725"/>
      <c r="G52" s="18"/>
      <c r="H52" s="18"/>
    </row>
    <row r="53" spans="1:8" ht="15" customHeight="1">
      <c r="A53" s="9"/>
      <c r="B53" s="132" t="s">
        <v>208</v>
      </c>
      <c r="C53" s="15" t="s">
        <v>209</v>
      </c>
      <c r="D53" s="244"/>
      <c r="E53" s="15" t="s">
        <v>210</v>
      </c>
      <c r="F53" s="244" t="str">
        <f>IF(wskakunin_SHINSEI_DATE="","",wskakunin_SHINSEI_DATE)</f>
        <v/>
      </c>
      <c r="H53" s="18"/>
    </row>
    <row r="54" spans="1:8" ht="15" customHeight="1">
      <c r="A54" s="49" t="s">
        <v>211</v>
      </c>
      <c r="B54" s="726"/>
      <c r="G54" s="18"/>
      <c r="H54" s="18"/>
    </row>
    <row r="55" spans="1:8" ht="15" customHeight="1">
      <c r="A55" s="83"/>
      <c r="B55" s="131" t="s">
        <v>165</v>
      </c>
      <c r="C55" s="15" t="s">
        <v>212</v>
      </c>
      <c r="D55" s="222"/>
      <c r="E55" s="15" t="s">
        <v>213</v>
      </c>
      <c r="F55" s="141" t="str">
        <f>IF(wskakunin_LAST_ISSUE_NO="","",wskakunin_LAST_ISSUE_NO)</f>
        <v/>
      </c>
      <c r="G55" s="18"/>
      <c r="H55" s="18"/>
    </row>
    <row r="56" spans="1:8" ht="15" customHeight="1">
      <c r="A56" s="83"/>
      <c r="B56" s="131" t="s">
        <v>187</v>
      </c>
      <c r="C56" s="15" t="s">
        <v>214</v>
      </c>
      <c r="D56" s="240"/>
      <c r="E56" s="15" t="s">
        <v>215</v>
      </c>
      <c r="F56" s="240" t="str">
        <f>IF(wskakunin_LAST_ISSUE_DATE="","",wskakunin_LAST_ISSUE_DATE)</f>
        <v/>
      </c>
      <c r="G56" s="18"/>
      <c r="H56" s="18"/>
    </row>
    <row r="57" spans="1:8" ht="15" customHeight="1">
      <c r="A57" s="83"/>
      <c r="B57" s="215" t="s">
        <v>191</v>
      </c>
      <c r="C57" s="15" t="s">
        <v>216</v>
      </c>
      <c r="D57" s="222"/>
      <c r="E57" s="15" t="s">
        <v>217</v>
      </c>
      <c r="F57" s="141" t="str">
        <f>IF(wskakunin_LAST_ISSUE_NAME="","",wskakunin_LAST_ISSUE_NAME)</f>
        <v/>
      </c>
      <c r="G57" s="18"/>
      <c r="H57" s="18"/>
    </row>
    <row r="58" spans="1:8" ht="15" customHeight="1">
      <c r="A58" s="83"/>
      <c r="B58" s="131" t="s">
        <v>218</v>
      </c>
      <c r="C58" s="15" t="s">
        <v>219</v>
      </c>
      <c r="D58" s="222"/>
      <c r="E58" s="15" t="s">
        <v>220</v>
      </c>
      <c r="F58" s="141" t="str">
        <f>IF(wskakunin_P1_HENKOU_GAIYOU="","",wskakunin_P1_HENKOU_GAIYOU)</f>
        <v/>
      </c>
      <c r="G58" s="18"/>
      <c r="H58" s="18"/>
    </row>
    <row r="59" spans="1:8" ht="15" customHeight="1">
      <c r="A59" s="84"/>
      <c r="B59" s="133"/>
      <c r="G59" s="18"/>
      <c r="H59" s="18"/>
    </row>
    <row r="60" spans="1:8" ht="15" customHeight="1">
      <c r="A60" s="158" t="s">
        <v>221</v>
      </c>
      <c r="B60" s="159"/>
      <c r="D60" s="98"/>
      <c r="E60" s="15" t="s">
        <v>222</v>
      </c>
      <c r="F60" s="223" t="str">
        <f ca="1">IF(chk_JOB_KIND_kakunin=1,cst_shinsei_ISSUE_NO,cst_wskakunin_LAST_ISSUE_NO)</f>
        <v/>
      </c>
      <c r="G60" s="18"/>
      <c r="H60" s="18"/>
    </row>
    <row r="61" spans="1:8" ht="15" customHeight="1">
      <c r="A61" s="158" t="s">
        <v>223</v>
      </c>
      <c r="B61" s="159"/>
      <c r="D61" s="98"/>
      <c r="F61" s="18"/>
      <c r="G61" s="18"/>
      <c r="H61" s="18"/>
    </row>
    <row r="62" spans="1:8" ht="15" customHeight="1">
      <c r="A62" s="213" t="s">
        <v>224</v>
      </c>
      <c r="B62" s="214"/>
      <c r="C62"/>
      <c r="D62" s="208"/>
      <c r="E62" s="15" t="s">
        <v>225</v>
      </c>
      <c r="F62" s="224" t="str">
        <f ca="1">IF(OR(cst_wsjob_JOB_KIND=101,cst_wsjob_JOB_KIND=102),cst_shinsei_ISSUE_KOUFU_NAME,cst_wskakunin_LAST_ISSUE_NAME)</f>
        <v/>
      </c>
      <c r="G62" s="18"/>
      <c r="H62" s="18"/>
    </row>
    <row r="63" spans="1:8" ht="15" customHeight="1">
      <c r="A63" s="216" t="s">
        <v>226</v>
      </c>
      <c r="B63" s="217"/>
      <c r="C63"/>
      <c r="D63" s="208"/>
      <c r="E63" s="15" t="s">
        <v>227</v>
      </c>
      <c r="F63" s="225" t="str">
        <f ca="1">IF(chk_JOB_KIND_kakunin=1,cst_shinsei_ISSUE_DATE,cst_wskakunin_LAST_ISSUE_DATE)</f>
        <v/>
      </c>
      <c r="G63" s="18"/>
      <c r="H63" s="18"/>
    </row>
    <row r="64" spans="1:8" ht="15" customHeight="1">
      <c r="A64" s="83"/>
      <c r="B64" s="207"/>
      <c r="G64" s="18"/>
      <c r="H64" s="18"/>
    </row>
    <row r="65" spans="1:8" ht="15" customHeight="1">
      <c r="A65" s="50" t="s">
        <v>218</v>
      </c>
      <c r="B65" s="726"/>
      <c r="C65" s="15" t="s">
        <v>228</v>
      </c>
      <c r="D65" s="47"/>
      <c r="E65" s="15" t="s">
        <v>229</v>
      </c>
      <c r="F65" s="47" t="str">
        <f>IF(wskakunin_PAGE1_ALTERATION_NOTE="","",wskakunin_PAGE1_ALTERATION_NOTE)</f>
        <v/>
      </c>
    </row>
    <row r="66" spans="1:8" ht="15" customHeight="1">
      <c r="A66" s="52"/>
      <c r="B66" s="63"/>
    </row>
    <row r="67" spans="1:8" ht="15" customHeight="1">
      <c r="A67" s="53" t="s">
        <v>230</v>
      </c>
      <c r="B67" s="113"/>
      <c r="G67" s="18"/>
      <c r="H67" s="18"/>
    </row>
    <row r="68" spans="1:8" ht="15" customHeight="1">
      <c r="A68" s="109"/>
      <c r="B68" s="76" t="s">
        <v>231</v>
      </c>
      <c r="C68" s="15" t="s">
        <v>232</v>
      </c>
      <c r="D68" s="226"/>
      <c r="E68" s="15" t="s">
        <v>233</v>
      </c>
      <c r="F68" s="226" t="str">
        <f>IF(wskakunin_APPLICANT_NAME="","",wskakunin_APPLICANT_NAME)</f>
        <v/>
      </c>
      <c r="G68" s="18"/>
      <c r="H68" s="18"/>
    </row>
    <row r="69" spans="1:8" ht="15" customHeight="1">
      <c r="A69" s="114"/>
      <c r="B69" s="111"/>
      <c r="G69" s="18"/>
      <c r="H69" s="18"/>
    </row>
    <row r="70" spans="1:8" ht="15" customHeight="1">
      <c r="A70" s="49" t="s">
        <v>234</v>
      </c>
      <c r="B70" s="726"/>
      <c r="G70" s="18"/>
      <c r="H70" s="18"/>
    </row>
    <row r="71" spans="1:8" ht="15" customHeight="1">
      <c r="A71" s="83"/>
      <c r="B71" s="77" t="s">
        <v>235</v>
      </c>
      <c r="C71" s="15" t="s">
        <v>236</v>
      </c>
      <c r="D71" s="141"/>
      <c r="E71" s="15" t="s">
        <v>237</v>
      </c>
      <c r="F71" s="141" t="str">
        <f>IF(wskakunin_owner1_JIMU_NAME="", "", wskakunin_owner1_JIMU_NAME)</f>
        <v/>
      </c>
      <c r="G71" s="18"/>
      <c r="H71" s="18"/>
    </row>
    <row r="72" spans="1:8" ht="15" customHeight="1">
      <c r="A72" s="83"/>
      <c r="B72" s="77" t="s">
        <v>238</v>
      </c>
      <c r="C72" s="15" t="s">
        <v>239</v>
      </c>
      <c r="D72" s="141"/>
      <c r="E72" s="15" t="s">
        <v>240</v>
      </c>
      <c r="F72" s="141" t="str">
        <f>IF(wskakunin_owner1_JIMU_NAME_KANA="","",wskakunin_owner1_JIMU_NAME_KANA)</f>
        <v/>
      </c>
      <c r="G72" s="18"/>
      <c r="H72" s="18"/>
    </row>
    <row r="73" spans="1:8" ht="15" customHeight="1">
      <c r="A73" s="83"/>
      <c r="B73" s="77" t="s">
        <v>241</v>
      </c>
      <c r="C73" s="15" t="s">
        <v>242</v>
      </c>
      <c r="D73" s="141"/>
      <c r="E73" s="15" t="s">
        <v>243</v>
      </c>
      <c r="F73" s="141" t="str">
        <f>IF(wskakunin_owner1_POST="", "", wskakunin_owner1_POST)</f>
        <v/>
      </c>
      <c r="G73" s="18"/>
      <c r="H73" s="18"/>
    </row>
    <row r="74" spans="1:8" ht="15" customHeight="1">
      <c r="A74" s="83"/>
      <c r="B74" s="77" t="s">
        <v>244</v>
      </c>
      <c r="C74" s="15" t="s">
        <v>245</v>
      </c>
      <c r="D74" s="141"/>
      <c r="E74" s="15" t="s">
        <v>246</v>
      </c>
      <c r="F74" s="141" t="str">
        <f>IF(wskakunin_owner1_POST_KANA="","",wskakunin_owner1_POST_KANA)</f>
        <v/>
      </c>
      <c r="G74" s="18"/>
      <c r="H74" s="18"/>
    </row>
    <row r="75" spans="1:8" ht="15" customHeight="1">
      <c r="A75" s="83"/>
      <c r="B75" s="77" t="s">
        <v>247</v>
      </c>
      <c r="C75" s="15" t="s">
        <v>248</v>
      </c>
      <c r="D75" s="141"/>
      <c r="E75" s="15" t="s">
        <v>249</v>
      </c>
      <c r="F75" s="141" t="str">
        <f>IF(wskakunin_owner1_NAME="", "", wskakunin_owner1_NAME)</f>
        <v/>
      </c>
      <c r="G75" s="18"/>
      <c r="H75" s="18"/>
    </row>
    <row r="76" spans="1:8" ht="15" customHeight="1">
      <c r="A76" s="51"/>
      <c r="B76" s="77" t="s">
        <v>250</v>
      </c>
      <c r="C76" s="15" t="s">
        <v>251</v>
      </c>
      <c r="D76" s="141"/>
      <c r="E76" s="15" t="s">
        <v>252</v>
      </c>
      <c r="F76" s="141" t="str">
        <f>IF(wskakunin_owner1_NAME_KANA="","",wskakunin_owner1_NAME_KANA)</f>
        <v/>
      </c>
      <c r="G76" s="18"/>
      <c r="H76" s="18"/>
    </row>
    <row r="77" spans="1:8" ht="15" customHeight="1">
      <c r="A77" s="51"/>
      <c r="B77" s="112" t="s">
        <v>253</v>
      </c>
      <c r="D77" s="18"/>
      <c r="E77" s="15" t="s">
        <v>254</v>
      </c>
      <c r="F77" s="141" t="str">
        <f>IF(wskakunin_owner1_JIMU_NAME_KANA="",cst_wskakunin_owner1_NAME_KANA,IF(wskakunin_owner1_POST_KANA="",cst_wskakunin_owner1_NAME_KANA,cst_wskakunin_owner1_JIMU_NAME_KANA&amp;"　"&amp;cst_wskakunin_owner1_POST_KANA&amp;"　"&amp;cst_wskakunin_owner1_NAME_KANA))</f>
        <v/>
      </c>
      <c r="G77" s="18"/>
      <c r="H77" s="18"/>
    </row>
    <row r="78" spans="1:8" ht="15" customHeight="1">
      <c r="A78" s="51"/>
      <c r="B78" s="112" t="s">
        <v>255</v>
      </c>
      <c r="D78" s="18"/>
      <c r="E78" s="15" t="s">
        <v>256</v>
      </c>
      <c r="F78" s="141" t="str">
        <f>IF(AND(cst_wskakunin_owner1_JIMU_NAME_KANA="",cst_wskakunin_owner1_POST_KANA=""),cst_wskakunin_owner1_NAME_KANA,IF(cst_wskakunin_owner1_JIMU_NAME_KANA="",cst_wskakunin_owner1_POST_KANA&amp;"　"&amp;cst_wskakunin_owner1_NAME_KANA,IF(cst_wskakunin_owner1_POST_KANA="",cst_wskakunin_owner1_JIMU_NAME_KANA&amp;"　"&amp;cst_wskakunin_owner1_NAME_KANA,cst_wskakunin_owner1_JIMU_NAME_KANA&amp;"　"&amp;cst_wskakunin_owner1_POST_KANA&amp;"　"&amp;cst_wskakunin_owner1_NAME_KANA)))</f>
        <v/>
      </c>
      <c r="G78" s="18"/>
      <c r="H78" s="18"/>
    </row>
    <row r="79" spans="1:8" ht="15" customHeight="1">
      <c r="A79" s="51"/>
      <c r="B79" s="77" t="s">
        <v>257</v>
      </c>
      <c r="C79" s="15" t="s">
        <v>258</v>
      </c>
      <c r="D79" s="220"/>
      <c r="E79" s="15" t="s">
        <v>259</v>
      </c>
      <c r="F79" s="141" t="str">
        <f>IF(wskakunin_owner1_ZIP="", "", wskakunin_owner1_ZIP)</f>
        <v/>
      </c>
      <c r="G79" s="18"/>
      <c r="H79" s="18"/>
    </row>
    <row r="80" spans="1:8" ht="15" customHeight="1">
      <c r="A80" s="51"/>
      <c r="B80" s="77"/>
      <c r="E80" s="15" t="s">
        <v>260</v>
      </c>
      <c r="F80" s="141" t="str">
        <f>IF(wskakunin_owner1_ZIP="","",LEFT(wskakunin_owner1_ZIP,3)&amp;RIGHT(wskakunin_owner1_ZIP,4))</f>
        <v/>
      </c>
      <c r="G80" s="18"/>
      <c r="H80" s="18"/>
    </row>
    <row r="81" spans="1:8" ht="15" customHeight="1">
      <c r="A81" s="51"/>
      <c r="B81" s="77" t="s">
        <v>261</v>
      </c>
      <c r="C81" s="15" t="s">
        <v>262</v>
      </c>
      <c r="D81" s="141"/>
      <c r="E81" s="15" t="s">
        <v>263</v>
      </c>
      <c r="F81" s="141" t="str">
        <f>IF(wskakunin_owner1__address="", "", wskakunin_owner1__address)</f>
        <v/>
      </c>
      <c r="G81" s="18"/>
      <c r="H81" s="18"/>
    </row>
    <row r="82" spans="1:8" ht="15" customHeight="1">
      <c r="A82" s="51"/>
      <c r="B82" s="77" t="s">
        <v>264</v>
      </c>
      <c r="C82" s="15" t="s">
        <v>265</v>
      </c>
      <c r="D82" s="220"/>
      <c r="E82" s="15" t="s">
        <v>266</v>
      </c>
      <c r="F82" s="141" t="str">
        <f>IF(wskakunin_owner1_TEL="", "", wskakunin_owner1_TEL)</f>
        <v/>
      </c>
      <c r="G82" s="18"/>
      <c r="H82" s="18"/>
    </row>
    <row r="83" spans="1:8" ht="15" customHeight="1">
      <c r="A83" s="51"/>
      <c r="B83" s="74" t="s">
        <v>267</v>
      </c>
      <c r="D83" s="18"/>
      <c r="E83" s="15" t="s">
        <v>268</v>
      </c>
      <c r="F83" s="227" t="str">
        <f>IF(wskakunin_owner1_JIMU_NAME="",cst_wskakunin_owner1_NAME,IF(wskakunin_owner1_POST="",cst_wskakunin_owner1_NAME,cst_wskakunin_owner1_JIMU_NAME&amp;"　"&amp;cst_wskakunin_owner1_POST&amp;"　"&amp;cst_wskakunin_owner1_NAME))</f>
        <v/>
      </c>
      <c r="G83" s="57"/>
      <c r="H83" s="57"/>
    </row>
    <row r="84" spans="1:8" ht="15" customHeight="1">
      <c r="A84" s="51"/>
      <c r="B84" s="74" t="s">
        <v>269</v>
      </c>
      <c r="D84" s="18"/>
      <c r="E84" s="15" t="s">
        <v>270</v>
      </c>
      <c r="F84" s="141" t="str">
        <f>IF(wskakunin_owner1_POST&amp;wskakunin_owner1_NAME="","",IF(wskakunin_owner1_POST="",wskakunin_owner1_NAME,wskakunin_owner1_POST&amp;"　"&amp;wskakunin_owner1_NAME))</f>
        <v/>
      </c>
      <c r="G84" s="18"/>
      <c r="H84" s="18"/>
    </row>
    <row r="85" spans="1:8" ht="30" customHeight="1">
      <c r="A85" s="51"/>
      <c r="B85" s="77" t="s">
        <v>271</v>
      </c>
      <c r="D85" s="18"/>
      <c r="E85" s="15" t="s">
        <v>272</v>
      </c>
      <c r="F85" s="227" t="str">
        <f>wskakunin_owner1_JIMU_NAME&amp;IF(wskakunin_owner1_JIMU_NAME="","",CHAR(10))&amp;cst_wskakunin_owner1__space2</f>
        <v/>
      </c>
      <c r="G85" s="57"/>
      <c r="H85" s="57"/>
    </row>
    <row r="86" spans="1:8" ht="30" customHeight="1">
      <c r="A86" s="51"/>
      <c r="B86" s="138" t="s">
        <v>273</v>
      </c>
      <c r="D86" s="18"/>
      <c r="E86" s="15" t="s">
        <v>274</v>
      </c>
      <c r="F86" s="227" t="str">
        <f>IF(AND(cst_wskakunin_owner1_JIMU_NAME="",cst_wskakunin_owner1_POST=""),cst_wskakunin_owner1_NAME,IF(cst_wskakunin_owner1_JIMU_NAME="",cst_wskakunin_owner1_POST&amp;"　"&amp;cst_wskakunin_owner1_NAME,IF(cst_wskakunin_owner1_POST="",cst_wskakunin_owner1_JIMU_NAME&amp;"　"&amp;cst_wskakunin_owner1_NAME,cst_wskakunin_owner1_JIMU_NAME&amp;"　"&amp;cst_wskakunin_owner1_POST&amp;"　"&amp;cst_wskakunin_owner1_NAME)))</f>
        <v/>
      </c>
      <c r="G86" s="57"/>
      <c r="H86" s="57"/>
    </row>
    <row r="87" spans="1:8" ht="15" customHeight="1">
      <c r="A87" s="52"/>
      <c r="B87" s="85"/>
      <c r="D87" s="18"/>
      <c r="G87" s="57"/>
      <c r="H87" s="57"/>
    </row>
    <row r="88" spans="1:8" ht="15" customHeight="1">
      <c r="A88" s="49" t="s">
        <v>275</v>
      </c>
      <c r="B88" s="726"/>
      <c r="G88" s="18"/>
      <c r="H88" s="18"/>
    </row>
    <row r="89" spans="1:8" ht="15" customHeight="1">
      <c r="A89" s="83"/>
      <c r="B89" s="77" t="s">
        <v>235</v>
      </c>
      <c r="C89" s="15" t="s">
        <v>276</v>
      </c>
      <c r="D89" s="141"/>
      <c r="E89" s="15" t="s">
        <v>277</v>
      </c>
      <c r="F89" s="141" t="str">
        <f>IF(wskakunin_owner2_JIMU_NAME="", "", wskakunin_owner2_JIMU_NAME)</f>
        <v/>
      </c>
      <c r="H89" s="18"/>
    </row>
    <row r="90" spans="1:8" ht="15" customHeight="1">
      <c r="A90" s="83"/>
      <c r="B90" s="77" t="s">
        <v>238</v>
      </c>
      <c r="C90" s="15" t="s">
        <v>278</v>
      </c>
      <c r="D90" s="141"/>
      <c r="E90" s="15" t="s">
        <v>279</v>
      </c>
      <c r="F90" s="141" t="str">
        <f>IF(wskakunin_owner2_JIMU_NAME_KANA="","",wskakunin_owner2_JIMU_NAME_KANA)</f>
        <v/>
      </c>
      <c r="H90" s="18"/>
    </row>
    <row r="91" spans="1:8" ht="15" customHeight="1">
      <c r="A91" s="83"/>
      <c r="B91" s="77" t="s">
        <v>241</v>
      </c>
      <c r="C91" s="15" t="s">
        <v>280</v>
      </c>
      <c r="D91" s="141"/>
      <c r="E91" s="15" t="s">
        <v>281</v>
      </c>
      <c r="F91" s="141" t="str">
        <f>IF(wskakunin_owner2_POST="", "", wskakunin_owner2_POST)</f>
        <v/>
      </c>
      <c r="H91" s="18"/>
    </row>
    <row r="92" spans="1:8" ht="15" customHeight="1">
      <c r="A92" s="83"/>
      <c r="B92" s="77" t="s">
        <v>244</v>
      </c>
      <c r="C92" s="15" t="s">
        <v>282</v>
      </c>
      <c r="D92" s="141"/>
      <c r="E92" s="15" t="s">
        <v>283</v>
      </c>
      <c r="F92" s="141" t="str">
        <f>IF(wskakunin_owner2_POST_KANA="","",wskakunin_owner2_POST_KANA)</f>
        <v/>
      </c>
      <c r="H92" s="18"/>
    </row>
    <row r="93" spans="1:8" ht="15" customHeight="1">
      <c r="A93" s="83"/>
      <c r="B93" s="77" t="s">
        <v>247</v>
      </c>
      <c r="C93" s="15" t="s">
        <v>284</v>
      </c>
      <c r="D93" s="141"/>
      <c r="E93" s="15" t="s">
        <v>285</v>
      </c>
      <c r="F93" s="141" t="str">
        <f>IF(wskakunin_owner2_NAME="", "", wskakunin_owner2_NAME)</f>
        <v/>
      </c>
      <c r="H93" s="18"/>
    </row>
    <row r="94" spans="1:8" ht="15" customHeight="1">
      <c r="A94" s="51"/>
      <c r="B94" s="77" t="s">
        <v>250</v>
      </c>
      <c r="C94" s="15" t="s">
        <v>286</v>
      </c>
      <c r="D94" s="141"/>
      <c r="E94" s="15" t="s">
        <v>287</v>
      </c>
      <c r="F94" s="141" t="str">
        <f>IF(wskakunin_owner2_NAME_KANA="","",wskakunin_owner2_NAME_KANA)</f>
        <v/>
      </c>
      <c r="H94" s="18"/>
    </row>
    <row r="95" spans="1:8" ht="15" customHeight="1">
      <c r="A95" s="51"/>
      <c r="B95" s="77" t="s">
        <v>257</v>
      </c>
      <c r="C95" s="15" t="s">
        <v>288</v>
      </c>
      <c r="D95" s="220"/>
      <c r="E95" s="15" t="s">
        <v>289</v>
      </c>
      <c r="F95" s="141" t="str">
        <f>IF(wskakunin_owner2_ZIP="", "", wskakunin_owner2_ZIP)</f>
        <v/>
      </c>
      <c r="H95" s="18"/>
    </row>
    <row r="96" spans="1:8" ht="15" customHeight="1">
      <c r="A96" s="51"/>
      <c r="B96" s="77" t="s">
        <v>261</v>
      </c>
      <c r="C96" s="15" t="s">
        <v>290</v>
      </c>
      <c r="D96" s="141"/>
      <c r="E96" s="15" t="s">
        <v>291</v>
      </c>
      <c r="F96" s="141" t="str">
        <f>IF(wskakunin_owner2__address="", "", wskakunin_owner2__address)</f>
        <v/>
      </c>
      <c r="H96" s="18"/>
    </row>
    <row r="97" spans="1:8" ht="15" customHeight="1">
      <c r="A97" s="51"/>
      <c r="B97" s="77" t="s">
        <v>264</v>
      </c>
      <c r="C97" s="15" t="s">
        <v>292</v>
      </c>
      <c r="D97" s="220"/>
      <c r="E97" s="15" t="s">
        <v>293</v>
      </c>
      <c r="F97" s="141" t="str">
        <f>IF(wskakunin_owner2_TEL="", "", wskakunin_owner2_TEL)</f>
        <v/>
      </c>
      <c r="H97" s="18"/>
    </row>
    <row r="98" spans="1:8" ht="15" customHeight="1">
      <c r="A98" s="51"/>
      <c r="B98" s="74" t="s">
        <v>267</v>
      </c>
      <c r="E98" s="15" t="s">
        <v>294</v>
      </c>
      <c r="F98" s="141" t="str">
        <f>IF(wskakunin_owner2_JIMU_NAME="",cst_wskakunin_owner2_NAME,IF(wskakunin_owner2_POST="",cst_wskakunin_owner2_NAME,cst_wskakunin_owner2_JIMU_NAME&amp;"　"&amp;cst_wskakunin_owner2_POST&amp;"　"&amp;cst_wskakunin_owner2_NAME))</f>
        <v/>
      </c>
      <c r="H98" s="18"/>
    </row>
    <row r="99" spans="1:8" ht="15" customHeight="1">
      <c r="A99" s="51"/>
      <c r="B99" s="211" t="s">
        <v>269</v>
      </c>
      <c r="C99"/>
      <c r="D99" s="206"/>
      <c r="E99" s="15" t="s">
        <v>295</v>
      </c>
      <c r="F99" s="141" t="str">
        <f>IF(wskakunin_owner2_POST&amp;wskakunin_owner2_NAME="","",IF(wskakunin_owner2_POST="",wskakunin_owner2_NAME,wskakunin_owner2_POST&amp;"　"&amp;wskakunin_owner2_NAME))</f>
        <v/>
      </c>
      <c r="H99" s="18"/>
    </row>
    <row r="100" spans="1:8" ht="24">
      <c r="A100" s="51"/>
      <c r="B100" s="212" t="s">
        <v>271</v>
      </c>
      <c r="C100"/>
      <c r="D100" s="206"/>
      <c r="E100" s="15" t="s">
        <v>296</v>
      </c>
      <c r="F100" s="227" t="str">
        <f>wskakunin_owner2_JIMU_NAME&amp;IF(wskakunin_owner2_JIMU_NAME="","",CHAR(10))&amp;cst_wskakunin_owner2__space2</f>
        <v/>
      </c>
      <c r="H100" s="18"/>
    </row>
    <row r="101" spans="1:8" ht="15" customHeight="1">
      <c r="A101" s="51"/>
      <c r="B101" s="140"/>
      <c r="D101" s="37"/>
      <c r="F101" s="18"/>
      <c r="H101" s="18"/>
    </row>
    <row r="102" spans="1:8" ht="15" customHeight="1">
      <c r="A102" s="49" t="s">
        <v>297</v>
      </c>
      <c r="B102" s="726"/>
      <c r="H102" s="18"/>
    </row>
    <row r="103" spans="1:8" ht="15" customHeight="1">
      <c r="A103" s="83"/>
      <c r="B103" s="77" t="s">
        <v>235</v>
      </c>
      <c r="C103" s="15" t="s">
        <v>298</v>
      </c>
      <c r="D103" s="141"/>
      <c r="E103" s="15" t="s">
        <v>299</v>
      </c>
      <c r="F103" s="141" t="str">
        <f>IF(wskakunin_owner3_JIMU_NAME="", "", wskakunin_owner3_JIMU_NAME)</f>
        <v/>
      </c>
      <c r="H103" s="18"/>
    </row>
    <row r="104" spans="1:8" ht="15" customHeight="1">
      <c r="A104" s="83"/>
      <c r="B104" s="77" t="s">
        <v>238</v>
      </c>
      <c r="C104" s="15" t="s">
        <v>300</v>
      </c>
      <c r="D104" s="141"/>
      <c r="E104" s="15" t="s">
        <v>301</v>
      </c>
      <c r="F104" s="141" t="str">
        <f>IF(wskakunin_owner3_JIMU_NAME_KANA="","",wskakunin_owner3_JIMU_NAME_KANA)</f>
        <v/>
      </c>
      <c r="H104" s="18"/>
    </row>
    <row r="105" spans="1:8" ht="15" customHeight="1">
      <c r="A105" s="83"/>
      <c r="B105" s="77" t="s">
        <v>241</v>
      </c>
      <c r="C105" s="15" t="s">
        <v>302</v>
      </c>
      <c r="D105" s="141"/>
      <c r="E105" s="15" t="s">
        <v>303</v>
      </c>
      <c r="F105" s="141" t="str">
        <f>IF(wskakunin_owner3_POST="", "", wskakunin_owner3_POST)</f>
        <v/>
      </c>
      <c r="H105" s="18"/>
    </row>
    <row r="106" spans="1:8" ht="15" customHeight="1">
      <c r="A106" s="83"/>
      <c r="B106" s="77" t="s">
        <v>244</v>
      </c>
      <c r="C106" s="15" t="s">
        <v>304</v>
      </c>
      <c r="D106" s="141"/>
      <c r="E106" s="15" t="s">
        <v>305</v>
      </c>
      <c r="F106" s="141" t="str">
        <f>IF(wskakunin_owner3_POST_KANA="","",wskakunin_owner3_POST_KANA)</f>
        <v/>
      </c>
      <c r="H106" s="18"/>
    </row>
    <row r="107" spans="1:8" ht="15" customHeight="1">
      <c r="A107" s="83"/>
      <c r="B107" s="77" t="s">
        <v>247</v>
      </c>
      <c r="C107" s="15" t="s">
        <v>306</v>
      </c>
      <c r="D107" s="141"/>
      <c r="E107" s="15" t="s">
        <v>307</v>
      </c>
      <c r="F107" s="141" t="str">
        <f>IF(wskakunin_owner3_NAME="", "", wskakunin_owner3_NAME)</f>
        <v/>
      </c>
      <c r="H107" s="18"/>
    </row>
    <row r="108" spans="1:8" ht="15" customHeight="1">
      <c r="A108" s="51"/>
      <c r="B108" s="77" t="s">
        <v>250</v>
      </c>
      <c r="C108" s="15" t="s">
        <v>308</v>
      </c>
      <c r="D108" s="141"/>
      <c r="E108" s="15" t="s">
        <v>309</v>
      </c>
      <c r="F108" s="141" t="str">
        <f>IF(wskakunin_owner3_NAME_KANA="","",wskakunin_owner3_NAME_KANA)</f>
        <v/>
      </c>
      <c r="H108" s="18"/>
    </row>
    <row r="109" spans="1:8" ht="15" customHeight="1">
      <c r="A109" s="51"/>
      <c r="B109" s="77" t="s">
        <v>257</v>
      </c>
      <c r="C109" s="15" t="s">
        <v>310</v>
      </c>
      <c r="D109" s="220"/>
      <c r="E109" s="15" t="s">
        <v>311</v>
      </c>
      <c r="F109" s="141" t="str">
        <f>IF(wskakunin_owner3_ZIP="", "", wskakunin_owner3_ZIP)</f>
        <v/>
      </c>
      <c r="H109" s="18"/>
    </row>
    <row r="110" spans="1:8" ht="15" customHeight="1">
      <c r="A110" s="51"/>
      <c r="B110" s="77" t="s">
        <v>261</v>
      </c>
      <c r="C110" s="15" t="s">
        <v>312</v>
      </c>
      <c r="D110" s="141"/>
      <c r="E110" s="15" t="s">
        <v>313</v>
      </c>
      <c r="F110" s="141" t="str">
        <f>IF(wskakunin_owner3__address="", "", wskakunin_owner3__address)</f>
        <v/>
      </c>
      <c r="H110" s="18"/>
    </row>
    <row r="111" spans="1:8" ht="15" customHeight="1">
      <c r="A111" s="51"/>
      <c r="B111" s="77" t="s">
        <v>264</v>
      </c>
      <c r="C111" s="15" t="s">
        <v>314</v>
      </c>
      <c r="D111" s="220"/>
      <c r="E111" s="15" t="s">
        <v>315</v>
      </c>
      <c r="F111" s="141" t="str">
        <f>IF(wskakunin_owner3_TEL="", "", wskakunin_owner3_TEL)</f>
        <v/>
      </c>
      <c r="H111" s="18"/>
    </row>
    <row r="112" spans="1:8" ht="15" customHeight="1">
      <c r="A112" s="51"/>
      <c r="B112" s="74" t="s">
        <v>267</v>
      </c>
      <c r="E112" s="15" t="s">
        <v>316</v>
      </c>
      <c r="F112" s="141" t="str">
        <f>IF(wskakunin_owner3_JIMU_NAME="",cst_wskakunin_owner3_NAME,IF(wskakunin_owner3_POST="",cst_wskakunin_owner3_NAME,cst_wskakunin_owner3_JIMU_NAME&amp;"　"&amp;cst_wskakunin_owner3_POST&amp;"　"&amp;cst_wskakunin_owner3_NAME))</f>
        <v/>
      </c>
      <c r="H112" s="18"/>
    </row>
    <row r="113" spans="1:8" ht="15" customHeight="1">
      <c r="A113" s="51"/>
      <c r="B113" s="140"/>
      <c r="D113" s="37"/>
      <c r="F113" s="18"/>
      <c r="H113" s="18"/>
    </row>
    <row r="114" spans="1:8" ht="15" customHeight="1">
      <c r="A114" s="49" t="s">
        <v>317</v>
      </c>
      <c r="B114" s="726"/>
      <c r="H114" s="18"/>
    </row>
    <row r="115" spans="1:8" ht="15" customHeight="1">
      <c r="A115" s="83"/>
      <c r="B115" s="77" t="s">
        <v>235</v>
      </c>
      <c r="C115" s="15" t="s">
        <v>318</v>
      </c>
      <c r="D115" s="141"/>
      <c r="E115" s="15" t="s">
        <v>319</v>
      </c>
      <c r="F115" s="141" t="str">
        <f>IF(wskakunin_owner4_JIMU_NAME="", "", wskakunin_owner4_JIMU_NAME)</f>
        <v/>
      </c>
      <c r="H115" s="18"/>
    </row>
    <row r="116" spans="1:8" ht="15" customHeight="1">
      <c r="A116" s="83"/>
      <c r="B116" s="77" t="s">
        <v>238</v>
      </c>
      <c r="C116" s="15" t="s">
        <v>320</v>
      </c>
      <c r="D116" s="141"/>
      <c r="E116" s="15" t="s">
        <v>321</v>
      </c>
      <c r="F116" s="141" t="str">
        <f>IF(wskakunin_owner4_JIMU_NAME_KANA="","",wskakunin_owner4_JIMU_NAME_KANA)</f>
        <v/>
      </c>
      <c r="H116" s="18"/>
    </row>
    <row r="117" spans="1:8" ht="15" customHeight="1">
      <c r="A117" s="83"/>
      <c r="B117" s="77" t="s">
        <v>241</v>
      </c>
      <c r="C117" s="15" t="s">
        <v>322</v>
      </c>
      <c r="D117" s="141"/>
      <c r="E117" s="15" t="s">
        <v>323</v>
      </c>
      <c r="F117" s="141" t="str">
        <f>IF(wskakunin_owner4_POST="", "", wskakunin_owner4_POST)</f>
        <v/>
      </c>
      <c r="H117" s="18"/>
    </row>
    <row r="118" spans="1:8" ht="15" customHeight="1">
      <c r="A118" s="83"/>
      <c r="B118" s="77" t="s">
        <v>244</v>
      </c>
      <c r="C118" s="15" t="s">
        <v>324</v>
      </c>
      <c r="D118" s="141"/>
      <c r="E118" s="15" t="s">
        <v>325</v>
      </c>
      <c r="F118" s="141" t="str">
        <f>IF(wskakunin_owner4_POST_KANA="","",wskakunin_owner4_POST_KANA)</f>
        <v/>
      </c>
      <c r="H118" s="18"/>
    </row>
    <row r="119" spans="1:8" ht="15" customHeight="1">
      <c r="A119" s="83"/>
      <c r="B119" s="77" t="s">
        <v>247</v>
      </c>
      <c r="C119" s="15" t="s">
        <v>326</v>
      </c>
      <c r="D119" s="141"/>
      <c r="E119" s="15" t="s">
        <v>327</v>
      </c>
      <c r="F119" s="141" t="str">
        <f>IF(wskakunin_owner4_NAME="", "", wskakunin_owner4_NAME)</f>
        <v/>
      </c>
      <c r="H119" s="18"/>
    </row>
    <row r="120" spans="1:8" ht="15" customHeight="1">
      <c r="A120" s="51"/>
      <c r="B120" s="77" t="s">
        <v>250</v>
      </c>
      <c r="C120" s="15" t="s">
        <v>328</v>
      </c>
      <c r="D120" s="141"/>
      <c r="E120" s="15" t="s">
        <v>329</v>
      </c>
      <c r="F120" s="141" t="str">
        <f>IF(wskakunin_owner4_NAME_KANA="","",wskakunin_owner4_NAME_KANA)</f>
        <v/>
      </c>
      <c r="H120" s="18"/>
    </row>
    <row r="121" spans="1:8" ht="15" customHeight="1">
      <c r="A121" s="51"/>
      <c r="B121" s="77" t="s">
        <v>257</v>
      </c>
      <c r="C121" s="15" t="s">
        <v>330</v>
      </c>
      <c r="D121" s="220"/>
      <c r="E121" s="15" t="s">
        <v>331</v>
      </c>
      <c r="F121" s="141" t="str">
        <f>IF(wskakunin_owner4_ZIP="", "", wskakunin_owner4_ZIP)</f>
        <v/>
      </c>
      <c r="H121" s="18"/>
    </row>
    <row r="122" spans="1:8" ht="15" customHeight="1">
      <c r="A122" s="51"/>
      <c r="B122" s="77" t="s">
        <v>261</v>
      </c>
      <c r="C122" s="15" t="s">
        <v>332</v>
      </c>
      <c r="D122" s="141"/>
      <c r="E122" s="15" t="s">
        <v>333</v>
      </c>
      <c r="F122" s="141" t="str">
        <f>IF(wskakunin_owner4__address="", "", wskakunin_owner4__address)</f>
        <v/>
      </c>
      <c r="H122" s="18"/>
    </row>
    <row r="123" spans="1:8" ht="15" customHeight="1">
      <c r="A123" s="51"/>
      <c r="B123" s="77" t="s">
        <v>264</v>
      </c>
      <c r="C123" s="15" t="s">
        <v>334</v>
      </c>
      <c r="D123" s="220"/>
      <c r="E123" s="15" t="s">
        <v>335</v>
      </c>
      <c r="F123" s="141" t="str">
        <f>IF(wskakunin_owner4_TEL="", "", wskakunin_owner4_TEL)</f>
        <v/>
      </c>
      <c r="H123" s="18"/>
    </row>
    <row r="124" spans="1:8" ht="15" customHeight="1">
      <c r="A124" s="51"/>
      <c r="B124" s="74" t="s">
        <v>267</v>
      </c>
      <c r="D124" s="37"/>
      <c r="E124" s="15" t="s">
        <v>336</v>
      </c>
      <c r="F124" s="141" t="str">
        <f>IF(wskakunin_owner4_JIMU_NAME="",cst_wskakunin_owner4_NAME,IF(wskakunin_owner4_POST="",cst_wskakunin_owner4_NAME,cst_wskakunin_owner4_JIMU_NAME&amp;"　"&amp;cst_wskakunin_owner4_POST&amp;"　"&amp;cst_wskakunin_owner4_NAME))</f>
        <v/>
      </c>
      <c r="H124" s="18"/>
    </row>
    <row r="125" spans="1:8" ht="15" customHeight="1">
      <c r="A125" s="51"/>
      <c r="B125" s="140"/>
      <c r="D125" s="37"/>
      <c r="F125" s="18"/>
      <c r="H125" s="18"/>
    </row>
    <row r="126" spans="1:8" ht="15" customHeight="1">
      <c r="A126" s="49" t="s">
        <v>337</v>
      </c>
      <c r="B126" s="726"/>
      <c r="H126" s="18"/>
    </row>
    <row r="127" spans="1:8" ht="15" customHeight="1">
      <c r="A127" s="83"/>
      <c r="B127" s="77" t="s">
        <v>235</v>
      </c>
      <c r="C127" s="15" t="s">
        <v>338</v>
      </c>
      <c r="D127" s="141"/>
      <c r="E127" s="15" t="s">
        <v>339</v>
      </c>
      <c r="F127" s="141" t="str">
        <f>IF(wskakunin_owner5_JIMU_NAME="", "", wskakunin_owner5_JIMU_NAME)</f>
        <v/>
      </c>
      <c r="H127" s="18"/>
    </row>
    <row r="128" spans="1:8" ht="15" customHeight="1">
      <c r="A128" s="83"/>
      <c r="B128" s="77" t="s">
        <v>238</v>
      </c>
      <c r="C128" s="15" t="s">
        <v>340</v>
      </c>
      <c r="D128" s="141"/>
      <c r="E128" s="15" t="s">
        <v>341</v>
      </c>
      <c r="F128" s="141" t="str">
        <f>IF(wskakunin_owner5_JIMU_NAME_KANA="","",wskakunin_owner5_JIMU_NAME_KANA)</f>
        <v/>
      </c>
      <c r="H128" s="18"/>
    </row>
    <row r="129" spans="1:8" ht="15" customHeight="1">
      <c r="A129" s="83"/>
      <c r="B129" s="77" t="s">
        <v>241</v>
      </c>
      <c r="C129" s="15" t="s">
        <v>342</v>
      </c>
      <c r="D129" s="141"/>
      <c r="E129" s="15" t="s">
        <v>343</v>
      </c>
      <c r="F129" s="141" t="str">
        <f>IF(wskakunin_owner5_POST="", "", wskakunin_owner5_POST)</f>
        <v/>
      </c>
      <c r="H129" s="18"/>
    </row>
    <row r="130" spans="1:8" ht="15" customHeight="1">
      <c r="A130" s="83"/>
      <c r="B130" s="77" t="s">
        <v>244</v>
      </c>
      <c r="C130" s="15" t="s">
        <v>344</v>
      </c>
      <c r="D130" s="141"/>
      <c r="E130" s="15" t="s">
        <v>345</v>
      </c>
      <c r="F130" s="141" t="str">
        <f>IF(wskakunin_owner5_POST_KANA="","",wskakunin_owner5_POST_KANA)</f>
        <v/>
      </c>
      <c r="H130" s="18"/>
    </row>
    <row r="131" spans="1:8" ht="15" customHeight="1">
      <c r="A131" s="83"/>
      <c r="B131" s="77" t="s">
        <v>247</v>
      </c>
      <c r="C131" s="15" t="s">
        <v>346</v>
      </c>
      <c r="D131" s="141"/>
      <c r="E131" s="15" t="s">
        <v>347</v>
      </c>
      <c r="F131" s="141" t="str">
        <f>IF(wskakunin_owner5_NAME="", "", wskakunin_owner5_NAME)</f>
        <v/>
      </c>
      <c r="H131" s="18"/>
    </row>
    <row r="132" spans="1:8" ht="15" customHeight="1">
      <c r="A132" s="51"/>
      <c r="B132" s="77" t="s">
        <v>250</v>
      </c>
      <c r="C132" s="15" t="s">
        <v>348</v>
      </c>
      <c r="D132" s="141"/>
      <c r="E132" s="15" t="s">
        <v>349</v>
      </c>
      <c r="F132" s="141" t="str">
        <f>IF(wskakunin_owner5_NAME_KANA="","",wskakunin_owner5_NAME_KANA)</f>
        <v/>
      </c>
      <c r="H132" s="18"/>
    </row>
    <row r="133" spans="1:8" ht="15" customHeight="1">
      <c r="A133" s="51"/>
      <c r="B133" s="77" t="s">
        <v>257</v>
      </c>
      <c r="C133" s="15" t="s">
        <v>350</v>
      </c>
      <c r="D133" s="220"/>
      <c r="E133" s="15" t="s">
        <v>351</v>
      </c>
      <c r="F133" s="141" t="str">
        <f>IF(wskakunin_owner5_ZIP="", "", wskakunin_owner5_ZIP)</f>
        <v/>
      </c>
      <c r="H133" s="18"/>
    </row>
    <row r="134" spans="1:8" ht="15" customHeight="1">
      <c r="A134" s="51"/>
      <c r="B134" s="77" t="s">
        <v>261</v>
      </c>
      <c r="C134" s="15" t="s">
        <v>352</v>
      </c>
      <c r="D134" s="141"/>
      <c r="E134" s="15" t="s">
        <v>353</v>
      </c>
      <c r="F134" s="141" t="str">
        <f>IF(wskakunin_owner5__address="", "", wskakunin_owner5__address)</f>
        <v/>
      </c>
      <c r="H134" s="18"/>
    </row>
    <row r="135" spans="1:8" ht="15" customHeight="1">
      <c r="A135" s="51"/>
      <c r="B135" s="77" t="s">
        <v>264</v>
      </c>
      <c r="C135" s="15" t="s">
        <v>354</v>
      </c>
      <c r="D135" s="220"/>
      <c r="E135" s="15" t="s">
        <v>355</v>
      </c>
      <c r="F135" s="141" t="str">
        <f>IF(wskakunin_owner5_TEL="", "", wskakunin_owner5_TEL)</f>
        <v/>
      </c>
      <c r="H135" s="18"/>
    </row>
    <row r="136" spans="1:8" ht="15" customHeight="1">
      <c r="A136" s="51"/>
      <c r="B136" s="74" t="s">
        <v>267</v>
      </c>
      <c r="D136" s="37"/>
      <c r="E136" s="15" t="s">
        <v>356</v>
      </c>
      <c r="F136" s="141" t="str">
        <f>IF(wskakunin_owner5_JIMU_NAME="",cst_wskakunin_owner5_NAME,IF(wskakunin_owner5_POST="",cst_wskakunin_owner5_NAME,cst_wskakunin_owner5_JIMU_NAME&amp;"　"&amp;cst_wskakunin_owner5_POST&amp;"　"&amp;cst_wskakunin_owner5_NAME))</f>
        <v/>
      </c>
      <c r="H136" s="18"/>
    </row>
    <row r="137" spans="1:8" ht="15" customHeight="1">
      <c r="A137" s="51"/>
      <c r="B137" s="140"/>
      <c r="D137" s="37"/>
      <c r="F137" s="18"/>
      <c r="H137" s="18"/>
    </row>
    <row r="138" spans="1:8" ht="15" customHeight="1">
      <c r="A138" s="49" t="s">
        <v>357</v>
      </c>
      <c r="B138" s="726"/>
      <c r="H138" s="18"/>
    </row>
    <row r="139" spans="1:8" ht="15" customHeight="1">
      <c r="A139" s="83"/>
      <c r="B139" s="77" t="s">
        <v>235</v>
      </c>
      <c r="C139" s="15" t="s">
        <v>358</v>
      </c>
      <c r="D139" s="141"/>
      <c r="E139" s="15" t="s">
        <v>359</v>
      </c>
      <c r="F139" s="141" t="str">
        <f>IF(wskakunin_owner6_JIMU_NAME="", "", wskakunin_owner6_JIMU_NAME)</f>
        <v/>
      </c>
      <c r="H139" s="18"/>
    </row>
    <row r="140" spans="1:8" ht="15" customHeight="1">
      <c r="A140" s="83"/>
      <c r="B140" s="77" t="s">
        <v>238</v>
      </c>
      <c r="C140" s="15" t="s">
        <v>360</v>
      </c>
      <c r="D140" s="141"/>
      <c r="E140" s="15" t="s">
        <v>361</v>
      </c>
      <c r="F140" s="141" t="str">
        <f>IF(wskakunin_owner6_JIMU_NAME_KANA="","",wskakunin_owner6_JIMU_NAME_KANA)</f>
        <v/>
      </c>
      <c r="H140" s="18"/>
    </row>
    <row r="141" spans="1:8" ht="15" customHeight="1">
      <c r="A141" s="83"/>
      <c r="B141" s="77" t="s">
        <v>241</v>
      </c>
      <c r="C141" s="15" t="s">
        <v>362</v>
      </c>
      <c r="D141" s="141"/>
      <c r="E141" s="15" t="s">
        <v>363</v>
      </c>
      <c r="F141" s="141" t="str">
        <f>IF(wskakunin_owner6_POST="", "", wskakunin_owner6_POST)</f>
        <v/>
      </c>
      <c r="H141" s="18"/>
    </row>
    <row r="142" spans="1:8" ht="15" customHeight="1">
      <c r="A142" s="83"/>
      <c r="B142" s="77" t="s">
        <v>244</v>
      </c>
      <c r="C142" s="15" t="s">
        <v>364</v>
      </c>
      <c r="D142" s="141"/>
      <c r="E142" s="15" t="s">
        <v>365</v>
      </c>
      <c r="F142" s="141" t="str">
        <f>IF(wskakunin_owner6_POST_KANA="","",wskakunin_owner6_POST_KANA)</f>
        <v/>
      </c>
      <c r="H142" s="18"/>
    </row>
    <row r="143" spans="1:8" ht="15" customHeight="1">
      <c r="A143" s="83"/>
      <c r="B143" s="77" t="s">
        <v>247</v>
      </c>
      <c r="C143" s="15" t="s">
        <v>366</v>
      </c>
      <c r="D143" s="141"/>
      <c r="E143" s="15" t="s">
        <v>367</v>
      </c>
      <c r="F143" s="141" t="str">
        <f>IF(wskakunin_owner6_NAME="", "", wskakunin_owner6_NAME)</f>
        <v/>
      </c>
      <c r="H143" s="18"/>
    </row>
    <row r="144" spans="1:8" ht="15" customHeight="1">
      <c r="A144" s="51"/>
      <c r="B144" s="77" t="s">
        <v>250</v>
      </c>
      <c r="C144" s="15" t="s">
        <v>368</v>
      </c>
      <c r="D144" s="141"/>
      <c r="E144" s="15" t="s">
        <v>369</v>
      </c>
      <c r="F144" s="141" t="str">
        <f>IF(wskakunin_owner6_NAME_KANA="","",wskakunin_owner6_NAME_KANA)</f>
        <v/>
      </c>
      <c r="H144" s="18"/>
    </row>
    <row r="145" spans="1:8" ht="15" customHeight="1">
      <c r="A145" s="51"/>
      <c r="B145" s="77" t="s">
        <v>257</v>
      </c>
      <c r="C145" s="15" t="s">
        <v>370</v>
      </c>
      <c r="D145" s="220"/>
      <c r="E145" s="15" t="s">
        <v>371</v>
      </c>
      <c r="F145" s="141" t="str">
        <f>IF(wskakunin_owner6_ZIP="", "", wskakunin_owner6_ZIP)</f>
        <v/>
      </c>
      <c r="H145" s="18"/>
    </row>
    <row r="146" spans="1:8" ht="15" customHeight="1">
      <c r="A146" s="51"/>
      <c r="B146" s="77" t="s">
        <v>261</v>
      </c>
      <c r="C146" s="15" t="s">
        <v>372</v>
      </c>
      <c r="D146" s="141"/>
      <c r="E146" s="15" t="s">
        <v>373</v>
      </c>
      <c r="F146" s="141" t="str">
        <f>IF(wskakunin_owner6__address="", "", wskakunin_owner6__address)</f>
        <v/>
      </c>
      <c r="H146" s="18"/>
    </row>
    <row r="147" spans="1:8" ht="15" customHeight="1">
      <c r="A147" s="51"/>
      <c r="B147" s="77" t="s">
        <v>264</v>
      </c>
      <c r="C147" s="15" t="s">
        <v>374</v>
      </c>
      <c r="D147" s="220"/>
      <c r="E147" s="15" t="s">
        <v>375</v>
      </c>
      <c r="F147" s="141" t="str">
        <f>IF(wskakunin_owner6_TEL="", "", wskakunin_owner6_TEL)</f>
        <v/>
      </c>
      <c r="H147" s="18"/>
    </row>
    <row r="148" spans="1:8" ht="15" customHeight="1">
      <c r="A148" s="51"/>
      <c r="B148" s="77" t="s">
        <v>271</v>
      </c>
      <c r="E148" s="15" t="s">
        <v>376</v>
      </c>
      <c r="F148" s="141" t="str">
        <f>wskakunin_owner6_JIMU_NAME&amp;IF(wskakunin_owner6_JIMU_NAME="","",CHAR(10))&amp;cst_wskakunin_owner6__space2</f>
        <v/>
      </c>
      <c r="H148" s="18"/>
    </row>
    <row r="149" spans="1:8" ht="15" customHeight="1">
      <c r="A149" s="51"/>
      <c r="B149" s="140"/>
      <c r="D149" s="37"/>
      <c r="F149" s="18"/>
      <c r="H149" s="18"/>
    </row>
    <row r="150" spans="1:8" ht="15" customHeight="1">
      <c r="A150" s="49" t="s">
        <v>377</v>
      </c>
      <c r="B150" s="726"/>
      <c r="H150" s="18"/>
    </row>
    <row r="151" spans="1:8" ht="15" customHeight="1">
      <c r="A151" s="83"/>
      <c r="B151" s="77" t="s">
        <v>235</v>
      </c>
      <c r="C151" s="15" t="s">
        <v>378</v>
      </c>
      <c r="D151" s="141"/>
      <c r="E151" s="15" t="s">
        <v>379</v>
      </c>
      <c r="F151" s="141" t="str">
        <f>IF(wskakunin_owner7_JIMU_NAME="", "", wskakunin_owner7_JIMU_NAME)</f>
        <v/>
      </c>
      <c r="H151" s="18"/>
    </row>
    <row r="152" spans="1:8" ht="15" customHeight="1">
      <c r="A152" s="83"/>
      <c r="B152" s="77" t="s">
        <v>238</v>
      </c>
      <c r="C152" s="15" t="s">
        <v>380</v>
      </c>
      <c r="D152" s="141"/>
      <c r="E152" s="15" t="s">
        <v>381</v>
      </c>
      <c r="F152" s="141" t="str">
        <f>IF(wskakunin_owner7_JIMU_NAME_KANA="","",wskakunin_owner7_JIMU_NAME_KANA)</f>
        <v/>
      </c>
      <c r="H152" s="18"/>
    </row>
    <row r="153" spans="1:8" ht="15" customHeight="1">
      <c r="A153" s="83"/>
      <c r="B153" s="77" t="s">
        <v>241</v>
      </c>
      <c r="C153" s="15" t="s">
        <v>382</v>
      </c>
      <c r="D153" s="141"/>
      <c r="E153" s="15" t="s">
        <v>383</v>
      </c>
      <c r="F153" s="141" t="str">
        <f>IF(wskakunin_owner7_POST="", "", wskakunin_owner7_POST)</f>
        <v/>
      </c>
      <c r="H153" s="18"/>
    </row>
    <row r="154" spans="1:8" ht="15" customHeight="1">
      <c r="A154" s="83"/>
      <c r="B154" s="77" t="s">
        <v>244</v>
      </c>
      <c r="C154" s="15" t="s">
        <v>384</v>
      </c>
      <c r="D154" s="141"/>
      <c r="E154" s="15" t="s">
        <v>385</v>
      </c>
      <c r="F154" s="141" t="str">
        <f>IF(wskakunin_owner7_POST_KANA="","",wskakunin_owner7_POST_KANA)</f>
        <v/>
      </c>
      <c r="H154" s="18"/>
    </row>
    <row r="155" spans="1:8" ht="15" customHeight="1">
      <c r="A155" s="83"/>
      <c r="B155" s="77" t="s">
        <v>247</v>
      </c>
      <c r="C155" s="15" t="s">
        <v>386</v>
      </c>
      <c r="D155" s="141"/>
      <c r="E155" s="15" t="s">
        <v>387</v>
      </c>
      <c r="F155" s="141" t="str">
        <f>IF(wskakunin_owner7_NAME="", "", wskakunin_owner7_NAME)</f>
        <v/>
      </c>
      <c r="H155" s="18"/>
    </row>
    <row r="156" spans="1:8" ht="15" customHeight="1">
      <c r="A156" s="51"/>
      <c r="B156" s="77" t="s">
        <v>250</v>
      </c>
      <c r="C156" s="15" t="s">
        <v>388</v>
      </c>
      <c r="D156" s="141"/>
      <c r="E156" s="15" t="s">
        <v>389</v>
      </c>
      <c r="F156" s="141" t="str">
        <f>IF(wskakunin_owner7_NAME_KANA="","",wskakunin_owner7_NAME_KANA)</f>
        <v/>
      </c>
      <c r="H156" s="18"/>
    </row>
    <row r="157" spans="1:8" ht="15" customHeight="1">
      <c r="A157" s="51"/>
      <c r="B157" s="77" t="s">
        <v>257</v>
      </c>
      <c r="C157" s="15" t="s">
        <v>390</v>
      </c>
      <c r="D157" s="220"/>
      <c r="E157" s="15" t="s">
        <v>391</v>
      </c>
      <c r="F157" s="141" t="str">
        <f>IF(wskakunin_owner7_ZIP="", "", wskakunin_owner7_ZIP)</f>
        <v/>
      </c>
      <c r="H157" s="18"/>
    </row>
    <row r="158" spans="1:8" ht="15" customHeight="1">
      <c r="A158" s="51"/>
      <c r="B158" s="77" t="s">
        <v>261</v>
      </c>
      <c r="C158" s="15" t="s">
        <v>392</v>
      </c>
      <c r="D158" s="141"/>
      <c r="E158" s="15" t="s">
        <v>393</v>
      </c>
      <c r="F158" s="141" t="str">
        <f>IF(wskakunin_owner7__address="", "", wskakunin_owner7__address)</f>
        <v/>
      </c>
      <c r="H158" s="18"/>
    </row>
    <row r="159" spans="1:8" ht="15" customHeight="1">
      <c r="A159" s="51"/>
      <c r="B159" s="77" t="s">
        <v>264</v>
      </c>
      <c r="C159" s="15" t="s">
        <v>394</v>
      </c>
      <c r="D159" s="220"/>
      <c r="E159" s="15" t="s">
        <v>395</v>
      </c>
      <c r="F159" s="141" t="str">
        <f>IF(wskakunin_owner7_TEL="", "", wskakunin_owner7_TEL)</f>
        <v/>
      </c>
      <c r="H159" s="18"/>
    </row>
    <row r="160" spans="1:8" ht="15" customHeight="1">
      <c r="A160" s="51"/>
      <c r="B160" s="140"/>
      <c r="D160" s="37"/>
      <c r="F160" s="18"/>
      <c r="H160" s="18"/>
    </row>
    <row r="161" spans="1:8" ht="15" customHeight="1">
      <c r="A161" s="49" t="s">
        <v>396</v>
      </c>
      <c r="B161" s="726"/>
      <c r="H161" s="18"/>
    </row>
    <row r="162" spans="1:8" ht="15" customHeight="1">
      <c r="A162" s="83"/>
      <c r="B162" s="77" t="s">
        <v>235</v>
      </c>
      <c r="C162" s="15" t="s">
        <v>397</v>
      </c>
      <c r="D162" s="141"/>
      <c r="E162" s="15" t="s">
        <v>398</v>
      </c>
      <c r="F162" s="141" t="str">
        <f>IF(wskakunin_owner8_JIMU_NAME="", "", wskakunin_owner8_JIMU_NAME)</f>
        <v/>
      </c>
      <c r="H162" s="18"/>
    </row>
    <row r="163" spans="1:8" ht="15" customHeight="1">
      <c r="A163" s="83"/>
      <c r="B163" s="77" t="s">
        <v>238</v>
      </c>
      <c r="C163" s="15" t="s">
        <v>399</v>
      </c>
      <c r="D163" s="141"/>
      <c r="E163" s="15" t="s">
        <v>400</v>
      </c>
      <c r="F163" s="141" t="str">
        <f>IF(wskakunin_owner8_JIMU_NAME_KANA="","",wskakunin_owner8_JIMU_NAME_KANA)</f>
        <v/>
      </c>
      <c r="H163" s="18"/>
    </row>
    <row r="164" spans="1:8" ht="15" customHeight="1">
      <c r="A164" s="83"/>
      <c r="B164" s="77" t="s">
        <v>241</v>
      </c>
      <c r="C164" s="15" t="s">
        <v>401</v>
      </c>
      <c r="D164" s="141"/>
      <c r="E164" s="15" t="s">
        <v>402</v>
      </c>
      <c r="F164" s="141" t="str">
        <f>IF(wskakunin_owner8_POST="", "", wskakunin_owner8_POST)</f>
        <v/>
      </c>
      <c r="H164" s="18"/>
    </row>
    <row r="165" spans="1:8" ht="15" customHeight="1">
      <c r="A165" s="83"/>
      <c r="B165" s="77" t="s">
        <v>244</v>
      </c>
      <c r="C165" s="15" t="s">
        <v>403</v>
      </c>
      <c r="D165" s="141"/>
      <c r="E165" s="15" t="s">
        <v>404</v>
      </c>
      <c r="F165" s="141" t="str">
        <f>IF(wskakunin_owner8_POST_KANA="","",wskakunin_owner8_POST_KANA)</f>
        <v/>
      </c>
      <c r="H165" s="18"/>
    </row>
    <row r="166" spans="1:8" ht="15" customHeight="1">
      <c r="A166" s="83"/>
      <c r="B166" s="77" t="s">
        <v>247</v>
      </c>
      <c r="C166" s="15" t="s">
        <v>405</v>
      </c>
      <c r="D166" s="141"/>
      <c r="E166" s="15" t="s">
        <v>406</v>
      </c>
      <c r="F166" s="141" t="str">
        <f>IF(wskakunin_owner8_NAME="", "", wskakunin_owner8_NAME)</f>
        <v/>
      </c>
      <c r="H166" s="18"/>
    </row>
    <row r="167" spans="1:8" ht="15" customHeight="1">
      <c r="A167" s="51"/>
      <c r="B167" s="77" t="s">
        <v>250</v>
      </c>
      <c r="C167" s="15" t="s">
        <v>407</v>
      </c>
      <c r="D167" s="141"/>
      <c r="E167" s="15" t="s">
        <v>408</v>
      </c>
      <c r="F167" s="141" t="str">
        <f>IF(wskakunin_owner8_NAME_KANA="","",wskakunin_owner8_NAME_KANA)</f>
        <v/>
      </c>
      <c r="H167" s="18"/>
    </row>
    <row r="168" spans="1:8" ht="15" customHeight="1">
      <c r="A168" s="51"/>
      <c r="B168" s="77" t="s">
        <v>257</v>
      </c>
      <c r="C168" s="15" t="s">
        <v>409</v>
      </c>
      <c r="D168" s="220"/>
      <c r="E168" s="15" t="s">
        <v>410</v>
      </c>
      <c r="F168" s="141" t="str">
        <f>IF(wskakunin_owner8_ZIP="", "", wskakunin_owner8_ZIP)</f>
        <v/>
      </c>
      <c r="H168" s="18"/>
    </row>
    <row r="169" spans="1:8" ht="15" customHeight="1">
      <c r="A169" s="51"/>
      <c r="B169" s="77" t="s">
        <v>261</v>
      </c>
      <c r="C169" s="15" t="s">
        <v>411</v>
      </c>
      <c r="D169" s="141"/>
      <c r="E169" s="15" t="s">
        <v>412</v>
      </c>
      <c r="F169" s="141" t="str">
        <f>IF(wskakunin_owner8__address="", "", wskakunin_owner8__address)</f>
        <v/>
      </c>
      <c r="H169" s="18"/>
    </row>
    <row r="170" spans="1:8" ht="15" customHeight="1">
      <c r="A170" s="51"/>
      <c r="B170" s="77" t="s">
        <v>264</v>
      </c>
      <c r="C170" s="15" t="s">
        <v>413</v>
      </c>
      <c r="D170" s="220"/>
      <c r="E170" s="15" t="s">
        <v>414</v>
      </c>
      <c r="F170" s="141" t="str">
        <f>IF(wskakunin_owner8_TEL="", "", wskakunin_owner8_TEL)</f>
        <v/>
      </c>
      <c r="H170" s="18"/>
    </row>
    <row r="171" spans="1:8" ht="15" customHeight="1">
      <c r="A171" s="51"/>
      <c r="B171" s="140"/>
      <c r="D171" s="37"/>
      <c r="F171" s="18"/>
      <c r="H171" s="18"/>
    </row>
    <row r="172" spans="1:8" ht="15" customHeight="1">
      <c r="A172" s="49" t="s">
        <v>415</v>
      </c>
      <c r="B172" s="726"/>
      <c r="H172" s="18"/>
    </row>
    <row r="173" spans="1:8" ht="15" customHeight="1">
      <c r="A173" s="83"/>
      <c r="B173" s="77" t="s">
        <v>235</v>
      </c>
      <c r="C173" s="15" t="s">
        <v>416</v>
      </c>
      <c r="D173" s="141"/>
      <c r="E173" s="15" t="s">
        <v>417</v>
      </c>
      <c r="F173" s="141" t="str">
        <f>IF(wskakunin_owner9_JIMU_NAME="", "", wskakunin_owner9_JIMU_NAME)</f>
        <v/>
      </c>
      <c r="H173" s="18"/>
    </row>
    <row r="174" spans="1:8" ht="15" customHeight="1">
      <c r="A174" s="83"/>
      <c r="B174" s="77" t="s">
        <v>238</v>
      </c>
      <c r="C174" s="15" t="s">
        <v>418</v>
      </c>
      <c r="D174" s="141"/>
      <c r="E174" s="15" t="s">
        <v>419</v>
      </c>
      <c r="F174" s="141" t="str">
        <f>IF(wskakunin_owner9_JIMU_NAME_KANA="","",wskakunin_owner9_JIMU_NAME_KANA)</f>
        <v/>
      </c>
      <c r="H174" s="18"/>
    </row>
    <row r="175" spans="1:8" ht="15" customHeight="1">
      <c r="A175" s="83"/>
      <c r="B175" s="77" t="s">
        <v>241</v>
      </c>
      <c r="C175" s="15" t="s">
        <v>420</v>
      </c>
      <c r="D175" s="141"/>
      <c r="E175" s="15" t="s">
        <v>421</v>
      </c>
      <c r="F175" s="141" t="str">
        <f>IF(wskakunin_owner9_POST="", "", wskakunin_owner9_POST)</f>
        <v/>
      </c>
      <c r="H175" s="18"/>
    </row>
    <row r="176" spans="1:8" ht="15" customHeight="1">
      <c r="A176" s="83"/>
      <c r="B176" s="77" t="s">
        <v>244</v>
      </c>
      <c r="C176" s="15" t="s">
        <v>422</v>
      </c>
      <c r="D176" s="141"/>
      <c r="E176" s="15" t="s">
        <v>423</v>
      </c>
      <c r="F176" s="141" t="str">
        <f>IF(wskakunin_owner9_POST_KANA="","",wskakunin_owner9_POST_KANA)</f>
        <v/>
      </c>
      <c r="H176" s="18"/>
    </row>
    <row r="177" spans="1:8" ht="15" customHeight="1">
      <c r="A177" s="83"/>
      <c r="B177" s="77" t="s">
        <v>247</v>
      </c>
      <c r="C177" s="15" t="s">
        <v>424</v>
      </c>
      <c r="D177" s="141"/>
      <c r="E177" s="15" t="s">
        <v>425</v>
      </c>
      <c r="F177" s="141" t="str">
        <f>IF(wskakunin_owner9_NAME="", "", wskakunin_owner9_NAME)</f>
        <v/>
      </c>
      <c r="H177" s="18"/>
    </row>
    <row r="178" spans="1:8" ht="15" customHeight="1">
      <c r="A178" s="51"/>
      <c r="B178" s="77" t="s">
        <v>250</v>
      </c>
      <c r="C178" s="15" t="s">
        <v>426</v>
      </c>
      <c r="D178" s="141"/>
      <c r="E178" s="15" t="s">
        <v>427</v>
      </c>
      <c r="F178" s="141" t="str">
        <f>IF(wskakunin_owner9_NAME_KANA="","",wskakunin_owner9_NAME_KANA)</f>
        <v/>
      </c>
      <c r="H178" s="18"/>
    </row>
    <row r="179" spans="1:8" ht="15" customHeight="1">
      <c r="A179" s="51"/>
      <c r="B179" s="77" t="s">
        <v>257</v>
      </c>
      <c r="C179" s="15" t="s">
        <v>428</v>
      </c>
      <c r="D179" s="220"/>
      <c r="E179" s="15" t="s">
        <v>429</v>
      </c>
      <c r="F179" s="141" t="str">
        <f>IF(wskakunin_owner9_ZIP="", "", wskakunin_owner9_ZIP)</f>
        <v/>
      </c>
      <c r="H179" s="18"/>
    </row>
    <row r="180" spans="1:8" ht="15" customHeight="1">
      <c r="A180" s="51"/>
      <c r="B180" s="77" t="s">
        <v>261</v>
      </c>
      <c r="C180" s="15" t="s">
        <v>430</v>
      </c>
      <c r="D180" s="141"/>
      <c r="E180" s="15" t="s">
        <v>431</v>
      </c>
      <c r="F180" s="141" t="str">
        <f>IF(wskakunin_owner9__address="", "", wskakunin_owner9__address)</f>
        <v/>
      </c>
      <c r="H180" s="18"/>
    </row>
    <row r="181" spans="1:8" ht="15" customHeight="1">
      <c r="A181" s="51"/>
      <c r="B181" s="77" t="s">
        <v>264</v>
      </c>
      <c r="C181" s="15" t="s">
        <v>432</v>
      </c>
      <c r="D181" s="220"/>
      <c r="E181" s="15" t="s">
        <v>433</v>
      </c>
      <c r="F181" s="141" t="str">
        <f>IF(wskakunin_owner9_TEL="", "", wskakunin_owner9_TEL)</f>
        <v/>
      </c>
      <c r="H181" s="18"/>
    </row>
    <row r="182" spans="1:8" ht="15" customHeight="1">
      <c r="A182" s="51"/>
      <c r="B182" s="140"/>
      <c r="D182" s="37"/>
      <c r="F182" s="18"/>
      <c r="H182" s="18"/>
    </row>
    <row r="183" spans="1:8" ht="15" customHeight="1">
      <c r="A183" s="53" t="s">
        <v>434</v>
      </c>
      <c r="B183" s="727"/>
      <c r="G183" s="18"/>
      <c r="H183" s="18"/>
    </row>
    <row r="184" spans="1:8" ht="15" customHeight="1">
      <c r="A184" s="109"/>
      <c r="B184" s="76" t="s">
        <v>435</v>
      </c>
      <c r="C184" s="15" t="s">
        <v>436</v>
      </c>
      <c r="D184" s="226"/>
      <c r="E184" s="15" t="s">
        <v>437</v>
      </c>
      <c r="F184" s="226" t="str">
        <f>IF(wskakunin_dairi1__sikaku="", "", wskakunin_dairi1__sikaku)</f>
        <v/>
      </c>
      <c r="G184" s="18"/>
      <c r="H184" s="18"/>
    </row>
    <row r="185" spans="1:8" ht="15" customHeight="1">
      <c r="A185" s="109"/>
      <c r="B185" s="76" t="s">
        <v>438</v>
      </c>
      <c r="C185" s="15" t="s">
        <v>439</v>
      </c>
      <c r="D185" s="226"/>
      <c r="E185" s="15" t="s">
        <v>440</v>
      </c>
      <c r="F185" s="226" t="str">
        <f>IF(wskakunin_dairi1_SIKAKU__label="","",wskakunin_dairi1_SIKAKU__label)</f>
        <v/>
      </c>
      <c r="G185" s="18"/>
      <c r="H185" s="18"/>
    </row>
    <row r="186" spans="1:8" ht="15" customHeight="1">
      <c r="A186" s="109"/>
      <c r="B186" s="76" t="s">
        <v>441</v>
      </c>
      <c r="C186" s="15" t="s">
        <v>442</v>
      </c>
      <c r="D186" s="226"/>
      <c r="E186" s="15" t="s">
        <v>443</v>
      </c>
      <c r="F186" s="226" t="str">
        <f>IF(wskakunin_dairi1_TOUROKU_KIKAN__label="","",wskakunin_dairi1_TOUROKU_KIKAN__label)</f>
        <v/>
      </c>
      <c r="G186" s="18"/>
      <c r="H186" s="18"/>
    </row>
    <row r="187" spans="1:8" ht="15" customHeight="1">
      <c r="A187" s="109"/>
      <c r="B187" s="76" t="s">
        <v>444</v>
      </c>
      <c r="C187" s="15" t="s">
        <v>445</v>
      </c>
      <c r="D187" s="228"/>
      <c r="E187" s="15" t="s">
        <v>446</v>
      </c>
      <c r="F187" s="226" t="str">
        <f>IF(wskakunin_dairi1_KENTIKUSI_NO="","",wskakunin_dairi1_KENTIKUSI_NO)</f>
        <v/>
      </c>
      <c r="G187" s="18"/>
      <c r="H187" s="18"/>
    </row>
    <row r="188" spans="1:8" ht="15" customHeight="1">
      <c r="A188" s="61"/>
      <c r="B188" s="76" t="s">
        <v>247</v>
      </c>
      <c r="C188" s="15" t="s">
        <v>447</v>
      </c>
      <c r="D188" s="226"/>
      <c r="E188" s="15" t="s">
        <v>448</v>
      </c>
      <c r="F188" s="226" t="str">
        <f>IF(wskakunin_dairi1_NAME="", "", wskakunin_dairi1_NAME)</f>
        <v/>
      </c>
      <c r="G188" s="18"/>
      <c r="H188" s="18"/>
    </row>
    <row r="189" spans="1:8" ht="15" customHeight="1">
      <c r="A189" s="61"/>
      <c r="B189" s="76" t="s">
        <v>449</v>
      </c>
      <c r="C189" s="15" t="s">
        <v>450</v>
      </c>
      <c r="D189" s="226"/>
      <c r="E189" s="15" t="s">
        <v>451</v>
      </c>
      <c r="F189" s="226" t="str">
        <f>IF(wskakunin_dairi1_NAME_KANA="", "", wskakunin_dairi1_NAME_KANA)</f>
        <v/>
      </c>
      <c r="G189" s="18"/>
      <c r="H189" s="18"/>
    </row>
    <row r="190" spans="1:8" ht="15" customHeight="1">
      <c r="A190" s="61"/>
      <c r="B190" s="76" t="s">
        <v>452</v>
      </c>
      <c r="C190" s="15" t="s">
        <v>453</v>
      </c>
      <c r="D190" s="226"/>
      <c r="E190" s="15" t="s">
        <v>454</v>
      </c>
      <c r="F190" s="226" t="str">
        <f>IF(wskakunin_dairi1_JIMU__sikaku="", "", wskakunin_dairi1_JIMU__sikaku)</f>
        <v/>
      </c>
      <c r="G190" s="18"/>
      <c r="H190" s="18"/>
    </row>
    <row r="191" spans="1:8" ht="15" customHeight="1">
      <c r="A191" s="61"/>
      <c r="B191" s="76" t="s">
        <v>455</v>
      </c>
      <c r="C191" s="15" t="s">
        <v>456</v>
      </c>
      <c r="D191" s="226"/>
      <c r="E191" s="15" t="s">
        <v>457</v>
      </c>
      <c r="F191" s="226" t="str">
        <f>IF(wskakunin_dairi1_JIMU_SIKAKU__label="","",wskakunin_dairi1_JIMU_SIKAKU__label)</f>
        <v/>
      </c>
      <c r="G191" s="18"/>
      <c r="H191" s="18"/>
    </row>
    <row r="192" spans="1:8" ht="15" customHeight="1">
      <c r="A192" s="61"/>
      <c r="B192" s="76" t="s">
        <v>458</v>
      </c>
      <c r="C192" s="15" t="s">
        <v>459</v>
      </c>
      <c r="D192" s="226"/>
      <c r="E192" s="15" t="s">
        <v>460</v>
      </c>
      <c r="F192" s="226" t="str">
        <f>IF(wskakunin_dairi1_JIMU_TOUROKU_KIKAN__label="","",wskakunin_dairi1_JIMU_TOUROKU_KIKAN__label)</f>
        <v/>
      </c>
      <c r="G192" s="18"/>
      <c r="H192" s="18"/>
    </row>
    <row r="193" spans="1:8" ht="15" customHeight="1">
      <c r="A193" s="61"/>
      <c r="B193" s="76" t="s">
        <v>461</v>
      </c>
      <c r="C193" s="15" t="s">
        <v>462</v>
      </c>
      <c r="D193" s="228"/>
      <c r="E193" s="15" t="s">
        <v>463</v>
      </c>
      <c r="F193" s="226" t="str">
        <f>IF(wskakunin_dairi1_JIMU_NO="","",wskakunin_dairi1_JIMU_NO)</f>
        <v/>
      </c>
      <c r="G193" s="18"/>
      <c r="H193" s="18"/>
    </row>
    <row r="194" spans="1:8" ht="15" customHeight="1">
      <c r="A194" s="61"/>
      <c r="B194" s="76" t="s">
        <v>464</v>
      </c>
      <c r="C194" s="15" t="s">
        <v>465</v>
      </c>
      <c r="D194" s="226"/>
      <c r="E194" s="15" t="s">
        <v>466</v>
      </c>
      <c r="F194" s="226" t="str">
        <f>IF(wskakunin_dairi1_JIMU_NAME="", "",wskakunin_dairi1_JIMU_NAME)</f>
        <v/>
      </c>
      <c r="G194" s="18"/>
      <c r="H194" s="18"/>
    </row>
    <row r="195" spans="1:8" ht="15" customHeight="1">
      <c r="A195" s="61"/>
      <c r="B195" s="76" t="s">
        <v>257</v>
      </c>
      <c r="C195" s="15" t="s">
        <v>467</v>
      </c>
      <c r="D195" s="228"/>
      <c r="E195" s="15" t="s">
        <v>468</v>
      </c>
      <c r="F195" s="226" t="str">
        <f>IF(wskakunin_dairi1_ZIP="", "", wskakunin_dairi1_ZIP)</f>
        <v/>
      </c>
      <c r="G195" s="18"/>
      <c r="H195" s="18"/>
    </row>
    <row r="196" spans="1:8" ht="15" customHeight="1">
      <c r="A196" s="61"/>
      <c r="B196" s="76" t="s">
        <v>469</v>
      </c>
      <c r="C196" s="15" t="s">
        <v>470</v>
      </c>
      <c r="D196" s="226"/>
      <c r="E196" s="15" t="s">
        <v>471</v>
      </c>
      <c r="F196" s="226" t="str">
        <f>IF(wskakunin_dairi1__address="", "", wskakunin_dairi1__address)</f>
        <v/>
      </c>
      <c r="G196" s="18"/>
      <c r="H196" s="18"/>
    </row>
    <row r="197" spans="1:8" ht="15" customHeight="1">
      <c r="A197" s="61"/>
      <c r="B197" s="76" t="s">
        <v>264</v>
      </c>
      <c r="C197" s="15" t="s">
        <v>472</v>
      </c>
      <c r="D197" s="228"/>
      <c r="E197" s="15" t="s">
        <v>473</v>
      </c>
      <c r="F197" s="226" t="str">
        <f>IF(wskakunin_dairi1_TEL="", "", wskakunin_dairi1_TEL)</f>
        <v/>
      </c>
      <c r="G197" s="18"/>
      <c r="H197" s="18"/>
    </row>
    <row r="198" spans="1:8" ht="15" customHeight="1">
      <c r="A198" s="61"/>
      <c r="B198" s="76" t="s">
        <v>474</v>
      </c>
      <c r="C198" s="15" t="s">
        <v>475</v>
      </c>
      <c r="D198" s="228"/>
      <c r="E198" s="15" t="s">
        <v>476</v>
      </c>
      <c r="F198" s="226" t="str">
        <f>IF(wskakunin_dairi1_FAX="", "", wskakunin_dairi1_FAX)</f>
        <v/>
      </c>
      <c r="G198" s="18"/>
      <c r="H198" s="18"/>
    </row>
    <row r="199" spans="1:8" ht="15" customHeight="1">
      <c r="A199" s="61"/>
      <c r="B199" s="110" t="s">
        <v>477</v>
      </c>
      <c r="D199" s="18"/>
      <c r="E199" s="15" t="s">
        <v>478</v>
      </c>
      <c r="F199" s="226" t="str">
        <f>IF(wskakunin_dairi1_NAME&amp;wskakunin_dairi1_JIMU_NAME="","",IF(wskakunin_dairi1_JIMU_NAME="",wskakunin_dairi1_NAME,wskakunin_dairi1_JIMU_NAME&amp;"　"&amp;wskakunin_dairi1_NAME))</f>
        <v/>
      </c>
      <c r="G199" s="18"/>
      <c r="H199" s="18"/>
    </row>
    <row r="200" spans="1:8" ht="15" customHeight="1">
      <c r="A200" s="62"/>
      <c r="B200" s="111"/>
      <c r="D200" s="37"/>
      <c r="F200" s="18"/>
      <c r="G200" s="18"/>
      <c r="H200" s="18"/>
    </row>
    <row r="201" spans="1:8" ht="15" customHeight="1">
      <c r="A201" s="53" t="s">
        <v>479</v>
      </c>
      <c r="B201" s="727"/>
      <c r="G201" s="18"/>
      <c r="H201" s="18"/>
    </row>
    <row r="202" spans="1:8" ht="15" customHeight="1">
      <c r="A202" s="109"/>
      <c r="B202" s="76" t="s">
        <v>435</v>
      </c>
      <c r="C202" s="15" t="s">
        <v>480</v>
      </c>
      <c r="D202" s="226"/>
      <c r="E202" s="15" t="s">
        <v>481</v>
      </c>
      <c r="F202" s="226" t="str">
        <f>IF(wskakunin_dairi2__sikaku="", "", wskakunin_dairi2__sikaku)</f>
        <v/>
      </c>
      <c r="H202" s="18"/>
    </row>
    <row r="203" spans="1:8" ht="15" customHeight="1">
      <c r="A203" s="109"/>
      <c r="B203" s="76" t="s">
        <v>438</v>
      </c>
      <c r="C203" s="15" t="s">
        <v>482</v>
      </c>
      <c r="D203" s="226"/>
      <c r="E203" s="15" t="s">
        <v>483</v>
      </c>
      <c r="F203" s="226" t="str">
        <f>IF(wskakunin_dairi2_SIKAKU__label="","",wskakunin_dairi2_SIKAKU__label)</f>
        <v/>
      </c>
      <c r="H203" s="18"/>
    </row>
    <row r="204" spans="1:8" ht="15" customHeight="1">
      <c r="A204" s="109"/>
      <c r="B204" s="76" t="s">
        <v>441</v>
      </c>
      <c r="C204" s="15" t="s">
        <v>484</v>
      </c>
      <c r="D204" s="226"/>
      <c r="E204" s="15" t="s">
        <v>485</v>
      </c>
      <c r="F204" s="226" t="str">
        <f>IF(wskakunin_dairi2_TOUROKU_KIKAN__label="","",wskakunin_dairi2_TOUROKU_KIKAN__label)</f>
        <v/>
      </c>
      <c r="H204" s="18"/>
    </row>
    <row r="205" spans="1:8" ht="15" customHeight="1">
      <c r="A205" s="109"/>
      <c r="B205" s="76" t="s">
        <v>444</v>
      </c>
      <c r="C205" s="15" t="s">
        <v>486</v>
      </c>
      <c r="D205" s="228"/>
      <c r="E205" s="15" t="s">
        <v>487</v>
      </c>
      <c r="F205" s="226" t="str">
        <f>IF(wskakunin_dairi2_KENTIKUSI_NO="","",wskakunin_dairi2_KENTIKUSI_NO)</f>
        <v/>
      </c>
      <c r="H205" s="18"/>
    </row>
    <row r="206" spans="1:8" ht="15" customHeight="1">
      <c r="A206" s="61"/>
      <c r="B206" s="76" t="s">
        <v>247</v>
      </c>
      <c r="C206" s="15" t="s">
        <v>488</v>
      </c>
      <c r="D206" s="226"/>
      <c r="E206" s="15" t="s">
        <v>489</v>
      </c>
      <c r="F206" s="226" t="str">
        <f>IF(wskakunin_dairi2_NAME="", "", wskakunin_dairi2_NAME)</f>
        <v/>
      </c>
      <c r="H206" s="18"/>
    </row>
    <row r="207" spans="1:8" ht="15" customHeight="1">
      <c r="A207" s="61"/>
      <c r="B207" s="76" t="s">
        <v>449</v>
      </c>
      <c r="C207" s="15" t="s">
        <v>490</v>
      </c>
      <c r="D207" s="226"/>
      <c r="E207" s="15" t="s">
        <v>491</v>
      </c>
      <c r="F207" s="226" t="str">
        <f>IF(wskakunin_dairi2_NAME_KANA="", "", wskakunin_dairi2_NAME_KANA)</f>
        <v/>
      </c>
      <c r="H207" s="18"/>
    </row>
    <row r="208" spans="1:8" ht="15" customHeight="1">
      <c r="A208" s="61"/>
      <c r="B208" s="76" t="s">
        <v>452</v>
      </c>
      <c r="C208" s="15" t="s">
        <v>492</v>
      </c>
      <c r="D208" s="226"/>
      <c r="E208" s="15" t="s">
        <v>493</v>
      </c>
      <c r="F208" s="226" t="str">
        <f>IF(wskakunin_dairi2_JIMU__sikaku="", "", wskakunin_dairi2_JIMU__sikaku)</f>
        <v/>
      </c>
      <c r="H208" s="18"/>
    </row>
    <row r="209" spans="1:8" ht="15" customHeight="1">
      <c r="A209" s="61"/>
      <c r="B209" s="76" t="s">
        <v>455</v>
      </c>
      <c r="C209" s="15" t="s">
        <v>494</v>
      </c>
      <c r="D209" s="226"/>
      <c r="E209" s="15" t="s">
        <v>495</v>
      </c>
      <c r="F209" s="226" t="str">
        <f>IF(wskakunin_dairi2_JIMU_SIKAKU__label="","",wskakunin_dairi2_JIMU_SIKAKU__label)</f>
        <v/>
      </c>
      <c r="H209" s="18"/>
    </row>
    <row r="210" spans="1:8" ht="15" customHeight="1">
      <c r="A210" s="61"/>
      <c r="B210" s="76" t="s">
        <v>458</v>
      </c>
      <c r="C210" s="15" t="s">
        <v>496</v>
      </c>
      <c r="D210" s="226"/>
      <c r="E210" s="15" t="s">
        <v>497</v>
      </c>
      <c r="F210" s="226" t="str">
        <f>IF(wskakunin_dairi2_JIMU_TOUROKU_KIKAN__label="","",wskakunin_dairi2_JIMU_TOUROKU_KIKAN__label)</f>
        <v/>
      </c>
      <c r="H210" s="18"/>
    </row>
    <row r="211" spans="1:8" ht="15" customHeight="1">
      <c r="A211" s="61"/>
      <c r="B211" s="76" t="s">
        <v>461</v>
      </c>
      <c r="C211" s="15" t="s">
        <v>498</v>
      </c>
      <c r="D211" s="228"/>
      <c r="E211" s="15" t="s">
        <v>499</v>
      </c>
      <c r="F211" s="226" t="str">
        <f>IF(wskakunin_dairi2_JIMU_NO="","",wskakunin_dairi2_JIMU_NO)</f>
        <v/>
      </c>
      <c r="H211" s="18"/>
    </row>
    <row r="212" spans="1:8" ht="15" customHeight="1">
      <c r="A212" s="61"/>
      <c r="B212" s="76" t="s">
        <v>464</v>
      </c>
      <c r="C212" s="15" t="s">
        <v>500</v>
      </c>
      <c r="D212" s="226"/>
      <c r="E212" s="15" t="s">
        <v>501</v>
      </c>
      <c r="F212" s="226" t="str">
        <f>IF(wskakunin_dairi2_JIMU_NAME="", "",wskakunin_dairi2_JIMU_NAME)</f>
        <v/>
      </c>
      <c r="H212" s="18"/>
    </row>
    <row r="213" spans="1:8" ht="15" customHeight="1">
      <c r="A213" s="61"/>
      <c r="B213" s="76" t="s">
        <v>257</v>
      </c>
      <c r="C213" s="15" t="s">
        <v>502</v>
      </c>
      <c r="D213" s="228"/>
      <c r="E213" s="15" t="s">
        <v>503</v>
      </c>
      <c r="F213" s="226" t="str">
        <f>IF(wskakunin_dairi2_ZIP="", "", wskakunin_dairi2_ZIP)</f>
        <v/>
      </c>
      <c r="H213" s="18"/>
    </row>
    <row r="214" spans="1:8" ht="15" customHeight="1">
      <c r="A214" s="61"/>
      <c r="B214" s="76" t="s">
        <v>469</v>
      </c>
      <c r="C214" s="15" t="s">
        <v>504</v>
      </c>
      <c r="D214" s="226"/>
      <c r="E214" s="15" t="s">
        <v>505</v>
      </c>
      <c r="F214" s="226" t="str">
        <f>IF(wskakunin_dairi2__address="", "", wskakunin_dairi2__address)</f>
        <v/>
      </c>
      <c r="H214" s="18"/>
    </row>
    <row r="215" spans="1:8" ht="15" customHeight="1">
      <c r="A215" s="61"/>
      <c r="B215" s="76" t="s">
        <v>264</v>
      </c>
      <c r="C215" s="15" t="s">
        <v>506</v>
      </c>
      <c r="D215" s="228"/>
      <c r="E215" s="15" t="s">
        <v>507</v>
      </c>
      <c r="F215" s="226" t="str">
        <f>IF(wskakunin_dairi2_TEL="", "", wskakunin_dairi2_TEL)</f>
        <v/>
      </c>
      <c r="H215" s="18"/>
    </row>
    <row r="216" spans="1:8" ht="15" customHeight="1">
      <c r="A216" s="61"/>
      <c r="B216" s="76" t="s">
        <v>474</v>
      </c>
      <c r="C216" s="15" t="s">
        <v>508</v>
      </c>
      <c r="D216" s="228"/>
      <c r="E216" s="15" t="s">
        <v>509</v>
      </c>
      <c r="F216" s="226" t="str">
        <f>IF(wskakunin_dairi2_FAX="", "", wskakunin_dairi2_FAX)</f>
        <v/>
      </c>
      <c r="H216" s="18"/>
    </row>
    <row r="217" spans="1:8" ht="15" customHeight="1">
      <c r="A217" s="61"/>
      <c r="B217" s="110" t="s">
        <v>477</v>
      </c>
      <c r="D217" s="18"/>
      <c r="E217" s="15" t="s">
        <v>510</v>
      </c>
      <c r="F217" s="226" t="str">
        <f>IF(wskakunin_dairi2_NAME&amp;wskakunin_dairi2_JIMU_NAME="","",IF(wskakunin_dairi2_JIMU_NAME="",wskakunin_dairi2_NAME,wskakunin_dairi2_JIMU_NAME&amp;"　"&amp;wskakunin_dairi2_NAME))</f>
        <v/>
      </c>
      <c r="H217" s="18"/>
    </row>
    <row r="218" spans="1:8" ht="15" customHeight="1">
      <c r="A218" s="62"/>
      <c r="B218" s="111"/>
      <c r="D218" s="37"/>
      <c r="F218" s="18"/>
      <c r="H218" s="18"/>
    </row>
    <row r="219" spans="1:8" ht="15" customHeight="1">
      <c r="A219" s="53" t="s">
        <v>511</v>
      </c>
      <c r="B219" s="727"/>
      <c r="H219" s="18"/>
    </row>
    <row r="220" spans="1:8" ht="15" customHeight="1">
      <c r="A220" s="109"/>
      <c r="B220" s="76" t="s">
        <v>435</v>
      </c>
      <c r="C220" s="15" t="s">
        <v>512</v>
      </c>
      <c r="D220" s="226"/>
      <c r="E220" s="15" t="s">
        <v>513</v>
      </c>
      <c r="F220" s="226" t="str">
        <f>IF(wskakunin_dairi3__sikaku="", "", wskakunin_dairi3__sikaku)</f>
        <v/>
      </c>
      <c r="H220" s="18"/>
    </row>
    <row r="221" spans="1:8" ht="15" customHeight="1">
      <c r="A221" s="109"/>
      <c r="B221" s="76" t="s">
        <v>438</v>
      </c>
      <c r="C221" s="15" t="s">
        <v>514</v>
      </c>
      <c r="D221" s="226"/>
      <c r="E221" s="15" t="s">
        <v>515</v>
      </c>
      <c r="F221" s="226" t="str">
        <f>IF(wskakunin_dairi3_SIKAKU__label="","",wskakunin_dairi3_SIKAKU__label)</f>
        <v/>
      </c>
      <c r="H221" s="18"/>
    </row>
    <row r="222" spans="1:8" ht="15" customHeight="1">
      <c r="A222" s="109"/>
      <c r="B222" s="76" t="s">
        <v>441</v>
      </c>
      <c r="C222" s="15" t="s">
        <v>516</v>
      </c>
      <c r="D222" s="226"/>
      <c r="E222" s="15" t="s">
        <v>517</v>
      </c>
      <c r="F222" s="226" t="str">
        <f>IF(wskakunin_dairi3_TOUROKU_KIKAN__label="","",wskakunin_dairi3_TOUROKU_KIKAN__label)</f>
        <v/>
      </c>
      <c r="H222" s="18"/>
    </row>
    <row r="223" spans="1:8" ht="15" customHeight="1">
      <c r="A223" s="109"/>
      <c r="B223" s="76" t="s">
        <v>444</v>
      </c>
      <c r="C223" s="15" t="s">
        <v>518</v>
      </c>
      <c r="D223" s="228"/>
      <c r="E223" s="15" t="s">
        <v>519</v>
      </c>
      <c r="F223" s="226" t="str">
        <f>IF(wskakunin_dairi3_KENTIKUSI_NO="","",wskakunin_dairi3_KENTIKUSI_NO)</f>
        <v/>
      </c>
      <c r="H223" s="18"/>
    </row>
    <row r="224" spans="1:8" ht="15" customHeight="1">
      <c r="A224" s="61"/>
      <c r="B224" s="76" t="s">
        <v>247</v>
      </c>
      <c r="C224" s="15" t="s">
        <v>520</v>
      </c>
      <c r="D224" s="226"/>
      <c r="E224" s="15" t="s">
        <v>521</v>
      </c>
      <c r="F224" s="226" t="str">
        <f>IF(wskakunin_dairi3_NAME="", "", wskakunin_dairi3_NAME)</f>
        <v/>
      </c>
      <c r="H224" s="18"/>
    </row>
    <row r="225" spans="1:8" ht="15" customHeight="1">
      <c r="A225" s="61"/>
      <c r="B225" s="76" t="s">
        <v>449</v>
      </c>
      <c r="C225" s="15" t="s">
        <v>522</v>
      </c>
      <c r="D225" s="226"/>
      <c r="E225" s="15" t="s">
        <v>523</v>
      </c>
      <c r="F225" s="226" t="str">
        <f>IF(wskakunin_dairi3_NAME_KANA="", "", wskakunin_dairi3_NAME_KANA)</f>
        <v/>
      </c>
      <c r="H225" s="18"/>
    </row>
    <row r="226" spans="1:8" ht="15" customHeight="1">
      <c r="A226" s="61"/>
      <c r="B226" s="76" t="s">
        <v>452</v>
      </c>
      <c r="C226" s="15" t="s">
        <v>524</v>
      </c>
      <c r="D226" s="226"/>
      <c r="E226" s="15" t="s">
        <v>525</v>
      </c>
      <c r="F226" s="226" t="str">
        <f>IF(wskakunin_dairi3_JIMU__sikaku="", "", wskakunin_dairi3_JIMU__sikaku)</f>
        <v/>
      </c>
      <c r="H226" s="18"/>
    </row>
    <row r="227" spans="1:8" ht="15" customHeight="1">
      <c r="A227" s="61"/>
      <c r="B227" s="76" t="s">
        <v>455</v>
      </c>
      <c r="C227" s="15" t="s">
        <v>526</v>
      </c>
      <c r="D227" s="226"/>
      <c r="E227" s="15" t="s">
        <v>527</v>
      </c>
      <c r="F227" s="226" t="str">
        <f>IF(wskakunin_dairi3_JIMU_SIKAKU__label="","",wskakunin_dairi3_JIMU_SIKAKU__label)</f>
        <v/>
      </c>
      <c r="H227" s="18"/>
    </row>
    <row r="228" spans="1:8" ht="15" customHeight="1">
      <c r="A228" s="61"/>
      <c r="B228" s="76" t="s">
        <v>458</v>
      </c>
      <c r="C228" s="15" t="s">
        <v>528</v>
      </c>
      <c r="D228" s="226"/>
      <c r="E228" s="15" t="s">
        <v>529</v>
      </c>
      <c r="F228" s="226" t="str">
        <f>IF(wskakunin_dairi3_JIMU_TOUROKU_KIKAN__label="","",wskakunin_dairi3_JIMU_TOUROKU_KIKAN__label)</f>
        <v/>
      </c>
      <c r="H228" s="18"/>
    </row>
    <row r="229" spans="1:8" ht="15" customHeight="1">
      <c r="A229" s="61"/>
      <c r="B229" s="76" t="s">
        <v>461</v>
      </c>
      <c r="C229" s="15" t="s">
        <v>530</v>
      </c>
      <c r="D229" s="228"/>
      <c r="E229" s="15" t="s">
        <v>531</v>
      </c>
      <c r="F229" s="226" t="str">
        <f>IF(wskakunin_dairi3_JIMU_NO="","",wskakunin_dairi3_JIMU_NO)</f>
        <v/>
      </c>
      <c r="H229" s="18"/>
    </row>
    <row r="230" spans="1:8" ht="15" customHeight="1">
      <c r="A230" s="61"/>
      <c r="B230" s="76" t="s">
        <v>464</v>
      </c>
      <c r="C230" s="15" t="s">
        <v>532</v>
      </c>
      <c r="D230" s="226"/>
      <c r="E230" s="15" t="s">
        <v>533</v>
      </c>
      <c r="F230" s="226" t="str">
        <f>IF(wskakunin_dairi3_JIMU_NAME="", "",wskakunin_dairi3_JIMU_NAME)</f>
        <v/>
      </c>
      <c r="H230" s="18"/>
    </row>
    <row r="231" spans="1:8" ht="15" customHeight="1">
      <c r="A231" s="61"/>
      <c r="B231" s="76" t="s">
        <v>257</v>
      </c>
      <c r="C231" s="15" t="s">
        <v>534</v>
      </c>
      <c r="D231" s="228"/>
      <c r="E231" s="15" t="s">
        <v>535</v>
      </c>
      <c r="F231" s="226" t="str">
        <f>IF(wskakunin_dairi3_ZIP="", "", wskakunin_dairi3_ZIP)</f>
        <v/>
      </c>
      <c r="H231" s="18"/>
    </row>
    <row r="232" spans="1:8" ht="15" customHeight="1">
      <c r="A232" s="61"/>
      <c r="B232" s="76" t="s">
        <v>469</v>
      </c>
      <c r="C232" s="15" t="s">
        <v>536</v>
      </c>
      <c r="D232" s="226"/>
      <c r="E232" s="15" t="s">
        <v>537</v>
      </c>
      <c r="F232" s="226" t="str">
        <f>IF(wskakunin_dairi3__address="", "", wskakunin_dairi3__address)</f>
        <v/>
      </c>
      <c r="H232" s="18"/>
    </row>
    <row r="233" spans="1:8" ht="15" customHeight="1">
      <c r="A233" s="61"/>
      <c r="B233" s="76" t="s">
        <v>264</v>
      </c>
      <c r="C233" s="15" t="s">
        <v>538</v>
      </c>
      <c r="D233" s="228"/>
      <c r="E233" s="15" t="s">
        <v>539</v>
      </c>
      <c r="F233" s="226" t="str">
        <f>IF(wskakunin_dairi3_TEL="", "", wskakunin_dairi3_TEL)</f>
        <v/>
      </c>
      <c r="H233" s="18"/>
    </row>
    <row r="234" spans="1:8" ht="15" customHeight="1">
      <c r="A234" s="61"/>
      <c r="B234" s="76" t="s">
        <v>474</v>
      </c>
      <c r="C234" s="15" t="s">
        <v>540</v>
      </c>
      <c r="D234" s="228"/>
      <c r="E234" s="15" t="s">
        <v>541</v>
      </c>
      <c r="F234" s="226" t="str">
        <f>IF(wskakunin_dairi3_FAX="", "", wskakunin_dairi3_FAX)</f>
        <v/>
      </c>
      <c r="H234" s="18"/>
    </row>
    <row r="235" spans="1:8" ht="15" customHeight="1">
      <c r="A235" s="61"/>
      <c r="B235" s="110" t="s">
        <v>477</v>
      </c>
      <c r="D235" s="18"/>
      <c r="E235" s="15" t="s">
        <v>542</v>
      </c>
      <c r="F235" s="226" t="str">
        <f>IF(wskakunin_dairi3_NAME&amp;wskakunin_dairi3_JIMU_NAME="","",IF(wskakunin_dairi3_JIMU_NAME="",wskakunin_dairi3_NAME,wskakunin_dairi3_JIMU_NAME&amp;"　"&amp;wskakunin_dairi3_NAME))</f>
        <v/>
      </c>
      <c r="H235" s="18"/>
    </row>
    <row r="236" spans="1:8" ht="15" customHeight="1">
      <c r="A236" s="62"/>
      <c r="B236" s="111"/>
      <c r="D236" s="37"/>
      <c r="F236" s="18"/>
      <c r="H236" s="18"/>
    </row>
    <row r="237" spans="1:8" ht="15" customHeight="1">
      <c r="A237" s="53" t="s">
        <v>543</v>
      </c>
      <c r="B237" s="727"/>
      <c r="H237" s="18"/>
    </row>
    <row r="238" spans="1:8" ht="15" customHeight="1">
      <c r="A238" s="109"/>
      <c r="B238" s="76" t="s">
        <v>435</v>
      </c>
      <c r="C238" s="15" t="s">
        <v>544</v>
      </c>
      <c r="D238" s="226"/>
      <c r="E238" s="15" t="s">
        <v>545</v>
      </c>
      <c r="F238" s="226" t="str">
        <f>IF(wskakunin_dairi4__sikaku="", "", wskakunin_dairi4__sikaku)</f>
        <v/>
      </c>
      <c r="H238" s="18"/>
    </row>
    <row r="239" spans="1:8" ht="15" customHeight="1">
      <c r="A239" s="109"/>
      <c r="B239" s="76" t="s">
        <v>438</v>
      </c>
      <c r="C239" s="15" t="s">
        <v>546</v>
      </c>
      <c r="D239" s="226"/>
      <c r="E239" s="15" t="s">
        <v>547</v>
      </c>
      <c r="F239" s="226" t="str">
        <f>IF(wskakunin_dairi4_SIKAKU__label="","",wskakunin_dairi4_SIKAKU__label)</f>
        <v/>
      </c>
      <c r="H239" s="18"/>
    </row>
    <row r="240" spans="1:8" ht="15" customHeight="1">
      <c r="A240" s="109"/>
      <c r="B240" s="76" t="s">
        <v>441</v>
      </c>
      <c r="C240" s="15" t="s">
        <v>548</v>
      </c>
      <c r="D240" s="226"/>
      <c r="E240" s="15" t="s">
        <v>549</v>
      </c>
      <c r="F240" s="226" t="str">
        <f>IF(wskakunin_dairi4_TOUROKU_KIKAN__label="","",wskakunin_dairi4_TOUROKU_KIKAN__label)</f>
        <v/>
      </c>
      <c r="H240" s="18"/>
    </row>
    <row r="241" spans="1:8" ht="15" customHeight="1">
      <c r="A241" s="109"/>
      <c r="B241" s="76" t="s">
        <v>444</v>
      </c>
      <c r="C241" s="15" t="s">
        <v>550</v>
      </c>
      <c r="D241" s="228"/>
      <c r="E241" s="15" t="s">
        <v>551</v>
      </c>
      <c r="F241" s="226" t="str">
        <f>IF(wskakunin_dairi4_KENTIKUSI_NO="","",wskakunin_dairi4_KENTIKUSI_NO)</f>
        <v/>
      </c>
      <c r="H241" s="18"/>
    </row>
    <row r="242" spans="1:8" ht="15" customHeight="1">
      <c r="A242" s="61"/>
      <c r="B242" s="76" t="s">
        <v>247</v>
      </c>
      <c r="C242" s="15" t="s">
        <v>552</v>
      </c>
      <c r="D242" s="226"/>
      <c r="E242" s="15" t="s">
        <v>553</v>
      </c>
      <c r="F242" s="226" t="str">
        <f>IF(wskakunin_dairi4_NAME="", "", wskakunin_dairi4_NAME)</f>
        <v/>
      </c>
      <c r="H242" s="18"/>
    </row>
    <row r="243" spans="1:8" ht="15" customHeight="1">
      <c r="A243" s="61"/>
      <c r="B243" s="76" t="s">
        <v>449</v>
      </c>
      <c r="C243" s="15" t="s">
        <v>554</v>
      </c>
      <c r="D243" s="226"/>
      <c r="E243" s="15" t="s">
        <v>555</v>
      </c>
      <c r="F243" s="226" t="str">
        <f>IF(wskakunin_dairi4_NAME_KANA="", "", wskakunin_dairi4_NAME_KANA)</f>
        <v/>
      </c>
      <c r="H243" s="18"/>
    </row>
    <row r="244" spans="1:8" ht="15" customHeight="1">
      <c r="A244" s="61"/>
      <c r="B244" s="76" t="s">
        <v>452</v>
      </c>
      <c r="C244" s="15" t="s">
        <v>556</v>
      </c>
      <c r="D244" s="226"/>
      <c r="E244" s="15" t="s">
        <v>557</v>
      </c>
      <c r="F244" s="226" t="str">
        <f>IF(wskakunin_dairi4_JIMU__sikaku="", "", wskakunin_dairi4_JIMU__sikaku)</f>
        <v/>
      </c>
      <c r="H244" s="18"/>
    </row>
    <row r="245" spans="1:8" ht="15" customHeight="1">
      <c r="A245" s="61"/>
      <c r="B245" s="76" t="s">
        <v>455</v>
      </c>
      <c r="C245" s="15" t="s">
        <v>558</v>
      </c>
      <c r="D245" s="226"/>
      <c r="E245" s="15" t="s">
        <v>559</v>
      </c>
      <c r="F245" s="226" t="str">
        <f>IF(wskakunin_dairi4_JIMU_SIKAKU__label="","",wskakunin_dairi4_JIMU_SIKAKU__label)</f>
        <v/>
      </c>
      <c r="H245" s="18"/>
    </row>
    <row r="246" spans="1:8" ht="15" customHeight="1">
      <c r="A246" s="61"/>
      <c r="B246" s="76" t="s">
        <v>458</v>
      </c>
      <c r="C246" s="15" t="s">
        <v>560</v>
      </c>
      <c r="D246" s="226"/>
      <c r="E246" s="15" t="s">
        <v>561</v>
      </c>
      <c r="F246" s="226" t="str">
        <f>IF(wskakunin_dairi4_JIMU_TOUROKU_KIKAN__label="","",wskakunin_dairi4_JIMU_TOUROKU_KIKAN__label)</f>
        <v/>
      </c>
      <c r="H246" s="18"/>
    </row>
    <row r="247" spans="1:8" ht="15" customHeight="1">
      <c r="A247" s="61"/>
      <c r="B247" s="76" t="s">
        <v>461</v>
      </c>
      <c r="C247" s="15" t="s">
        <v>562</v>
      </c>
      <c r="D247" s="228"/>
      <c r="E247" s="15" t="s">
        <v>563</v>
      </c>
      <c r="F247" s="226" t="str">
        <f>IF(wskakunin_dairi4_JIMU_NO="","",wskakunin_dairi4_JIMU_NO)</f>
        <v/>
      </c>
      <c r="H247" s="18"/>
    </row>
    <row r="248" spans="1:8" ht="15" customHeight="1">
      <c r="A248" s="61"/>
      <c r="B248" s="76" t="s">
        <v>464</v>
      </c>
      <c r="C248" s="15" t="s">
        <v>564</v>
      </c>
      <c r="D248" s="226"/>
      <c r="E248" s="15" t="s">
        <v>565</v>
      </c>
      <c r="F248" s="226" t="str">
        <f>IF(wskakunin_dairi4_JIMU_NAME="", "",wskakunin_dairi4_JIMU_NAME)</f>
        <v/>
      </c>
      <c r="H248" s="18"/>
    </row>
    <row r="249" spans="1:8" ht="15" customHeight="1">
      <c r="A249" s="61"/>
      <c r="B249" s="76" t="s">
        <v>257</v>
      </c>
      <c r="C249" s="15" t="s">
        <v>566</v>
      </c>
      <c r="D249" s="228"/>
      <c r="E249" s="15" t="s">
        <v>567</v>
      </c>
      <c r="F249" s="226" t="str">
        <f>IF(wskakunin_dairi4_ZIP="", "", wskakunin_dairi4_ZIP)</f>
        <v/>
      </c>
      <c r="H249" s="18"/>
    </row>
    <row r="250" spans="1:8" ht="15" customHeight="1">
      <c r="A250" s="61"/>
      <c r="B250" s="76" t="s">
        <v>469</v>
      </c>
      <c r="C250" s="15" t="s">
        <v>568</v>
      </c>
      <c r="D250" s="226"/>
      <c r="E250" s="15" t="s">
        <v>569</v>
      </c>
      <c r="F250" s="226" t="str">
        <f>IF(wskakunin_dairi4__address="", "", wskakunin_dairi4__address)</f>
        <v/>
      </c>
      <c r="H250" s="18"/>
    </row>
    <row r="251" spans="1:8" ht="15" customHeight="1">
      <c r="A251" s="61"/>
      <c r="B251" s="76" t="s">
        <v>264</v>
      </c>
      <c r="C251" s="15" t="s">
        <v>570</v>
      </c>
      <c r="D251" s="228"/>
      <c r="E251" s="15" t="s">
        <v>571</v>
      </c>
      <c r="F251" s="226" t="str">
        <f>IF(wskakunin_dairi4_TEL="", "", wskakunin_dairi4_TEL)</f>
        <v/>
      </c>
      <c r="H251" s="18"/>
    </row>
    <row r="252" spans="1:8" ht="15" customHeight="1">
      <c r="A252" s="61"/>
      <c r="B252" s="76" t="s">
        <v>474</v>
      </c>
      <c r="C252" s="15" t="s">
        <v>572</v>
      </c>
      <c r="D252" s="228"/>
      <c r="E252" s="15" t="s">
        <v>573</v>
      </c>
      <c r="F252" s="226" t="str">
        <f>IF(wskakunin_dairi4_FAX="", "", wskakunin_dairi4_FAX)</f>
        <v/>
      </c>
      <c r="H252" s="18"/>
    </row>
    <row r="253" spans="1:8" ht="15" customHeight="1">
      <c r="A253" s="61"/>
      <c r="B253" s="110" t="s">
        <v>477</v>
      </c>
      <c r="D253" s="18"/>
      <c r="E253" s="15" t="s">
        <v>574</v>
      </c>
      <c r="F253" s="226" t="str">
        <f>IF(wskakunin_dairi4_NAME&amp;wskakunin_dairi4_JIMU_NAME="","",IF(wskakunin_dairi4_JIMU_NAME="",wskakunin_dairi4_NAME,wskakunin_dairi4_JIMU_NAME&amp;"　"&amp;wskakunin_dairi4_NAME))</f>
        <v/>
      </c>
      <c r="H253" s="18"/>
    </row>
    <row r="254" spans="1:8" ht="15" customHeight="1">
      <c r="A254" s="62"/>
      <c r="B254" s="111"/>
      <c r="D254" s="37"/>
      <c r="F254" s="18"/>
      <c r="H254" s="18"/>
    </row>
    <row r="255" spans="1:8" ht="15" customHeight="1">
      <c r="A255" s="53" t="s">
        <v>575</v>
      </c>
      <c r="B255" s="727"/>
      <c r="H255" s="18"/>
    </row>
    <row r="256" spans="1:8" ht="15" customHeight="1">
      <c r="A256" s="109"/>
      <c r="B256" s="76" t="s">
        <v>435</v>
      </c>
      <c r="C256" s="15" t="s">
        <v>576</v>
      </c>
      <c r="D256" s="226"/>
      <c r="E256" s="15" t="s">
        <v>577</v>
      </c>
      <c r="F256" s="226" t="str">
        <f>IF(wskakunin_dairi5__sikaku="", "", wskakunin_dairi5__sikaku)</f>
        <v/>
      </c>
      <c r="H256" s="18"/>
    </row>
    <row r="257" spans="1:8" ht="15" customHeight="1">
      <c r="A257" s="109"/>
      <c r="B257" s="76" t="s">
        <v>438</v>
      </c>
      <c r="C257" s="15" t="s">
        <v>578</v>
      </c>
      <c r="D257" s="226"/>
      <c r="E257" s="15" t="s">
        <v>579</v>
      </c>
      <c r="F257" s="226" t="str">
        <f>IF(wskakunin_dairi5_SIKAKU__label="","",wskakunin_dairi5_SIKAKU__label)</f>
        <v/>
      </c>
      <c r="H257" s="18"/>
    </row>
    <row r="258" spans="1:8" ht="15" customHeight="1">
      <c r="A258" s="109"/>
      <c r="B258" s="76" t="s">
        <v>441</v>
      </c>
      <c r="C258" s="15" t="s">
        <v>580</v>
      </c>
      <c r="D258" s="226"/>
      <c r="E258" s="15" t="s">
        <v>581</v>
      </c>
      <c r="F258" s="226" t="str">
        <f>IF(wskakunin_dairi5_TOUROKU_KIKAN__label="","",wskakunin_dairi5_TOUROKU_KIKAN__label)</f>
        <v/>
      </c>
      <c r="H258" s="18"/>
    </row>
    <row r="259" spans="1:8" ht="15" customHeight="1">
      <c r="A259" s="109"/>
      <c r="B259" s="76" t="s">
        <v>444</v>
      </c>
      <c r="C259" s="15" t="s">
        <v>582</v>
      </c>
      <c r="D259" s="228"/>
      <c r="E259" s="15" t="s">
        <v>583</v>
      </c>
      <c r="F259" s="226" t="str">
        <f>IF(wskakunin_dairi5_KENTIKUSI_NO="","",wskakunin_dairi5_KENTIKUSI_NO)</f>
        <v/>
      </c>
      <c r="H259" s="18"/>
    </row>
    <row r="260" spans="1:8" ht="15" customHeight="1">
      <c r="A260" s="61"/>
      <c r="B260" s="76" t="s">
        <v>247</v>
      </c>
      <c r="C260" s="15" t="s">
        <v>584</v>
      </c>
      <c r="D260" s="226"/>
      <c r="E260" s="15" t="s">
        <v>585</v>
      </c>
      <c r="F260" s="226" t="str">
        <f>IF(wskakunin_dairi5_NAME="", "", wskakunin_dairi5_NAME)</f>
        <v/>
      </c>
      <c r="H260" s="18"/>
    </row>
    <row r="261" spans="1:8" ht="15" customHeight="1">
      <c r="A261" s="61"/>
      <c r="B261" s="76" t="s">
        <v>449</v>
      </c>
      <c r="C261" s="15" t="s">
        <v>586</v>
      </c>
      <c r="D261" s="226"/>
      <c r="E261" s="15" t="s">
        <v>587</v>
      </c>
      <c r="F261" s="226" t="str">
        <f>IF(wskakunin_dairi5_NAME_KANA="", "", wskakunin_dairi5_NAME_KANA)</f>
        <v/>
      </c>
      <c r="H261" s="18"/>
    </row>
    <row r="262" spans="1:8" ht="15" customHeight="1">
      <c r="A262" s="61"/>
      <c r="B262" s="76" t="s">
        <v>452</v>
      </c>
      <c r="C262" s="15" t="s">
        <v>588</v>
      </c>
      <c r="D262" s="226"/>
      <c r="E262" s="15" t="s">
        <v>589</v>
      </c>
      <c r="F262" s="226" t="str">
        <f>IF(wskakunin_dairi5_JIMU__sikaku="", "", wskakunin_dairi5_JIMU__sikaku)</f>
        <v/>
      </c>
      <c r="H262" s="18"/>
    </row>
    <row r="263" spans="1:8" ht="15" customHeight="1">
      <c r="A263" s="61"/>
      <c r="B263" s="76" t="s">
        <v>455</v>
      </c>
      <c r="C263" s="15" t="s">
        <v>590</v>
      </c>
      <c r="D263" s="226"/>
      <c r="E263" s="15" t="s">
        <v>591</v>
      </c>
      <c r="F263" s="226" t="str">
        <f>IF(wskakunin_dairi5_JIMU_SIKAKU__label="","",wskakunin_dairi5_JIMU_SIKAKU__label)</f>
        <v/>
      </c>
      <c r="H263" s="18"/>
    </row>
    <row r="264" spans="1:8" ht="15" customHeight="1">
      <c r="A264" s="61"/>
      <c r="B264" s="76" t="s">
        <v>458</v>
      </c>
      <c r="C264" s="15" t="s">
        <v>592</v>
      </c>
      <c r="D264" s="226"/>
      <c r="E264" s="15" t="s">
        <v>593</v>
      </c>
      <c r="F264" s="226" t="str">
        <f>IF(wskakunin_dairi5_JIMU_TOUROKU_KIKAN__label="","",wskakunin_dairi5_JIMU_TOUROKU_KIKAN__label)</f>
        <v/>
      </c>
      <c r="H264" s="18"/>
    </row>
    <row r="265" spans="1:8" ht="15" customHeight="1">
      <c r="A265" s="61"/>
      <c r="B265" s="76" t="s">
        <v>461</v>
      </c>
      <c r="C265" s="15" t="s">
        <v>594</v>
      </c>
      <c r="D265" s="228"/>
      <c r="E265" s="15" t="s">
        <v>595</v>
      </c>
      <c r="F265" s="226" t="str">
        <f>IF(wskakunin_dairi5_JIMU_NO="","",wskakunin_dairi5_JIMU_NO)</f>
        <v/>
      </c>
      <c r="H265" s="18"/>
    </row>
    <row r="266" spans="1:8" ht="15" customHeight="1">
      <c r="A266" s="61"/>
      <c r="B266" s="76" t="s">
        <v>464</v>
      </c>
      <c r="C266" s="15" t="s">
        <v>596</v>
      </c>
      <c r="D266" s="226"/>
      <c r="E266" s="15" t="s">
        <v>597</v>
      </c>
      <c r="F266" s="226" t="str">
        <f>IF(wskakunin_dairi5_JIMU_NAME="", "",wskakunin_dairi5_JIMU_NAME)</f>
        <v/>
      </c>
      <c r="H266" s="18"/>
    </row>
    <row r="267" spans="1:8" ht="15" customHeight="1">
      <c r="A267" s="61"/>
      <c r="B267" s="76" t="s">
        <v>257</v>
      </c>
      <c r="C267" s="15" t="s">
        <v>598</v>
      </c>
      <c r="D267" s="228"/>
      <c r="E267" s="15" t="s">
        <v>599</v>
      </c>
      <c r="F267" s="226" t="str">
        <f>IF(wskakunin_dairi5_ZIP="", "", wskakunin_dairi5_ZIP)</f>
        <v/>
      </c>
      <c r="H267" s="18"/>
    </row>
    <row r="268" spans="1:8" ht="15" customHeight="1">
      <c r="A268" s="61"/>
      <c r="B268" s="76" t="s">
        <v>469</v>
      </c>
      <c r="C268" s="15" t="s">
        <v>600</v>
      </c>
      <c r="D268" s="226"/>
      <c r="E268" s="15" t="s">
        <v>601</v>
      </c>
      <c r="F268" s="226" t="str">
        <f>IF(wskakunin_dairi5__address="", "", wskakunin_dairi5__address)</f>
        <v/>
      </c>
      <c r="H268" s="18"/>
    </row>
    <row r="269" spans="1:8" ht="15" customHeight="1">
      <c r="A269" s="61"/>
      <c r="B269" s="76" t="s">
        <v>264</v>
      </c>
      <c r="C269" s="15" t="s">
        <v>602</v>
      </c>
      <c r="D269" s="228"/>
      <c r="E269" s="15" t="s">
        <v>603</v>
      </c>
      <c r="F269" s="226" t="str">
        <f>IF(wskakunin_dairi5_TEL="", "", wskakunin_dairi5_TEL)</f>
        <v/>
      </c>
      <c r="H269" s="18"/>
    </row>
    <row r="270" spans="1:8" ht="15" customHeight="1">
      <c r="A270" s="61"/>
      <c r="B270" s="76" t="s">
        <v>474</v>
      </c>
      <c r="C270" s="15" t="s">
        <v>604</v>
      </c>
      <c r="D270" s="228"/>
      <c r="E270" s="15" t="s">
        <v>605</v>
      </c>
      <c r="F270" s="226" t="str">
        <f>IF(wskakunin_dairi5_FAX="", "", wskakunin_dairi5_FAX)</f>
        <v/>
      </c>
      <c r="H270" s="18"/>
    </row>
    <row r="271" spans="1:8" ht="15" customHeight="1">
      <c r="A271" s="61"/>
      <c r="B271" s="110" t="s">
        <v>477</v>
      </c>
      <c r="C271" s="18"/>
      <c r="D271" s="18"/>
      <c r="E271" s="15" t="s">
        <v>606</v>
      </c>
      <c r="F271" s="226" t="str">
        <f>IF(wskakunin_dairi5_NAME&amp;wskakunin_dairi5_JIMU_NAME="","",IF(wskakunin_dairi5_JIMU_NAME="",wskakunin_dairi5_NAME,wskakunin_dairi5_JIMU_NAME&amp;"　"&amp;wskakunin_dairi5_NAME))</f>
        <v/>
      </c>
      <c r="H271" s="18"/>
    </row>
    <row r="272" spans="1:8" ht="15" customHeight="1">
      <c r="A272" s="62"/>
      <c r="B272" s="111"/>
      <c r="D272" s="37"/>
      <c r="F272" s="18"/>
      <c r="G272" s="18"/>
      <c r="H272" s="18"/>
    </row>
    <row r="273" spans="1:8" ht="15" customHeight="1">
      <c r="A273" s="1" t="s">
        <v>607</v>
      </c>
      <c r="B273" s="726"/>
      <c r="G273" s="18"/>
      <c r="H273" s="18"/>
    </row>
    <row r="274" spans="1:8" ht="15" customHeight="1">
      <c r="A274" s="28"/>
      <c r="B274" s="77" t="s">
        <v>435</v>
      </c>
      <c r="C274" s="15" t="s">
        <v>608</v>
      </c>
      <c r="D274" s="141"/>
      <c r="E274" s="15" t="s">
        <v>609</v>
      </c>
      <c r="F274" s="141" t="str">
        <f>IF(wskakunin_sekkei1__sikaku="", "", wskakunin_sekkei1__sikaku)</f>
        <v/>
      </c>
      <c r="G274" s="18"/>
      <c r="H274" s="18"/>
    </row>
    <row r="275" spans="1:8" ht="15" customHeight="1">
      <c r="A275" s="35"/>
      <c r="B275" s="77" t="s">
        <v>438</v>
      </c>
      <c r="C275" s="15" t="s">
        <v>610</v>
      </c>
      <c r="D275" s="141"/>
      <c r="E275" s="15" t="s">
        <v>611</v>
      </c>
      <c r="F275" s="141" t="str">
        <f>IF(wskakunin_sekkei1_SIKAKU__label="","",wskakunin_sekkei1_SIKAKU__label)</f>
        <v/>
      </c>
      <c r="G275" s="18"/>
      <c r="H275" s="18"/>
    </row>
    <row r="276" spans="1:8" ht="15" customHeight="1">
      <c r="A276" s="35"/>
      <c r="B276" s="77" t="s">
        <v>441</v>
      </c>
      <c r="C276" s="15" t="s">
        <v>612</v>
      </c>
      <c r="D276" s="141"/>
      <c r="E276" s="15" t="s">
        <v>613</v>
      </c>
      <c r="F276" s="141" t="str">
        <f>IF(wskakunin_sekkei1_TOUROKU_KIKAN__label="","",wskakunin_sekkei1_TOUROKU_KIKAN__label)</f>
        <v/>
      </c>
      <c r="G276" s="18"/>
      <c r="H276" s="18"/>
    </row>
    <row r="277" spans="1:8" ht="15" customHeight="1">
      <c r="A277" s="35"/>
      <c r="B277" s="77" t="s">
        <v>444</v>
      </c>
      <c r="C277" s="15" t="s">
        <v>614</v>
      </c>
      <c r="D277" s="220"/>
      <c r="E277" s="15" t="s">
        <v>615</v>
      </c>
      <c r="F277" s="141" t="str">
        <f>IF(wskakunin_sekkei1_KENTIKUSI_NO="","",wskakunin_sekkei1_KENTIKUSI_NO)</f>
        <v/>
      </c>
      <c r="G277" s="18"/>
      <c r="H277" s="18"/>
    </row>
    <row r="278" spans="1:8" ht="15" customHeight="1">
      <c r="A278" s="47"/>
      <c r="B278" s="77" t="s">
        <v>247</v>
      </c>
      <c r="C278" s="15" t="s">
        <v>616</v>
      </c>
      <c r="D278" s="141"/>
      <c r="E278" s="15" t="s">
        <v>617</v>
      </c>
      <c r="F278" s="141" t="str">
        <f>IF(wskakunin_sekkei1_NAME="", "", wskakunin_sekkei1_NAME)</f>
        <v/>
      </c>
      <c r="G278" s="18"/>
      <c r="H278" s="18"/>
    </row>
    <row r="279" spans="1:8" ht="15" customHeight="1">
      <c r="A279" s="47"/>
      <c r="B279" s="77" t="s">
        <v>452</v>
      </c>
      <c r="C279" s="15" t="s">
        <v>618</v>
      </c>
      <c r="D279" s="141"/>
      <c r="E279" s="15" t="s">
        <v>619</v>
      </c>
      <c r="F279" s="141" t="str">
        <f>IF(wskakunin_sekkei1_JIMU__sikaku="", "", wskakunin_sekkei1_JIMU__sikaku)</f>
        <v/>
      </c>
      <c r="G279" s="18"/>
      <c r="H279" s="18"/>
    </row>
    <row r="280" spans="1:8" ht="15" customHeight="1">
      <c r="A280" s="47"/>
      <c r="B280" s="77" t="s">
        <v>455</v>
      </c>
      <c r="C280" s="15" t="s">
        <v>620</v>
      </c>
      <c r="D280" s="141"/>
      <c r="E280" s="15" t="s">
        <v>621</v>
      </c>
      <c r="F280" s="141" t="str">
        <f>IF(wskakunin_sekkei1_JIMU_SIKAKU__label="","",wskakunin_sekkei1_JIMU_SIKAKU__label)</f>
        <v/>
      </c>
      <c r="G280" s="18"/>
      <c r="H280" s="18"/>
    </row>
    <row r="281" spans="1:8" ht="15" customHeight="1">
      <c r="A281" s="47"/>
      <c r="B281" s="77" t="s">
        <v>458</v>
      </c>
      <c r="C281" s="15" t="s">
        <v>622</v>
      </c>
      <c r="D281" s="141"/>
      <c r="E281" s="15" t="s">
        <v>623</v>
      </c>
      <c r="F281" s="141" t="str">
        <f>IF(wskakunin_sekkei1_JIMU_TOUROKU_KIKAN__label="","",wskakunin_sekkei1_JIMU_TOUROKU_KIKAN__label)</f>
        <v/>
      </c>
      <c r="G281" s="18"/>
      <c r="H281" s="18"/>
    </row>
    <row r="282" spans="1:8" ht="15" customHeight="1">
      <c r="A282" s="47"/>
      <c r="B282" s="77" t="s">
        <v>461</v>
      </c>
      <c r="C282" s="15" t="s">
        <v>624</v>
      </c>
      <c r="D282" s="220"/>
      <c r="E282" s="15" t="s">
        <v>625</v>
      </c>
      <c r="F282" s="141" t="str">
        <f>IF(wskakunin_sekkei1_JIMU_NO="","",wskakunin_sekkei1_JIMU_NO)</f>
        <v/>
      </c>
      <c r="G282" s="18"/>
      <c r="H282" s="18"/>
    </row>
    <row r="283" spans="1:8" ht="15" customHeight="1">
      <c r="A283" s="60"/>
      <c r="B283" s="77" t="s">
        <v>464</v>
      </c>
      <c r="C283" s="15" t="s">
        <v>626</v>
      </c>
      <c r="D283" s="141"/>
      <c r="E283" s="15" t="s">
        <v>627</v>
      </c>
      <c r="F283" s="141" t="str">
        <f>IF(wskakunin_sekkei1_JIMU_NAME="", "", wskakunin_sekkei1_JIMU_NAME)</f>
        <v/>
      </c>
      <c r="G283" s="18"/>
      <c r="H283" s="18"/>
    </row>
    <row r="284" spans="1:8" ht="15" customHeight="1">
      <c r="A284" s="47"/>
      <c r="B284" s="77" t="s">
        <v>628</v>
      </c>
      <c r="D284" s="37"/>
      <c r="E284" s="15" t="s">
        <v>629</v>
      </c>
      <c r="F284" s="141" t="str">
        <f>wskakunin_sekkei1_JIMU_NAME&amp;" "&amp;wskakunin_sekkei1_NAME</f>
        <v xml:space="preserve"> </v>
      </c>
      <c r="G284" s="18"/>
      <c r="H284" s="18"/>
    </row>
    <row r="285" spans="1:8" ht="15" customHeight="1">
      <c r="A285" s="60"/>
      <c r="B285" s="77" t="s">
        <v>257</v>
      </c>
      <c r="C285" s="15" t="s">
        <v>630</v>
      </c>
      <c r="D285" s="220"/>
      <c r="E285" s="15" t="s">
        <v>631</v>
      </c>
      <c r="F285" s="141" t="str">
        <f>IF(wskakunin_sekkei1_ZIP="", "", wskakunin_sekkei1_ZIP)</f>
        <v/>
      </c>
      <c r="G285" s="18"/>
      <c r="H285" s="18" t="s">
        <v>632</v>
      </c>
    </row>
    <row r="286" spans="1:8" ht="15" customHeight="1">
      <c r="A286" s="60"/>
      <c r="B286" s="77" t="s">
        <v>469</v>
      </c>
      <c r="C286" s="15" t="s">
        <v>633</v>
      </c>
      <c r="D286" s="141"/>
      <c r="E286" s="15" t="s">
        <v>634</v>
      </c>
      <c r="F286" s="141" t="str">
        <f>IF(wskakunin_sekkei1__address="", "", wskakunin_sekkei1__address)</f>
        <v/>
      </c>
      <c r="G286" s="18"/>
      <c r="H286" s="18"/>
    </row>
    <row r="287" spans="1:8" ht="15" customHeight="1">
      <c r="A287" s="60"/>
      <c r="B287" s="77" t="s">
        <v>264</v>
      </c>
      <c r="C287" s="15" t="s">
        <v>635</v>
      </c>
      <c r="D287" s="220"/>
      <c r="E287" s="15" t="s">
        <v>636</v>
      </c>
      <c r="F287" s="141" t="str">
        <f>IF(wskakunin_sekkei1_TEL="", "", wskakunin_sekkei1_TEL)</f>
        <v/>
      </c>
      <c r="G287" s="18"/>
      <c r="H287" s="18"/>
    </row>
    <row r="288" spans="1:8" ht="15" customHeight="1">
      <c r="A288" s="60"/>
      <c r="B288" s="77" t="s">
        <v>637</v>
      </c>
      <c r="C288" s="15" t="s">
        <v>638</v>
      </c>
      <c r="D288" s="220"/>
      <c r="E288" s="15" t="s">
        <v>639</v>
      </c>
      <c r="F288" s="141" t="str">
        <f>IF(wskakunin_sekkei1_DOC="","",wskakunin_sekkei1_DOC)</f>
        <v/>
      </c>
      <c r="G288" s="18"/>
      <c r="H288" s="18"/>
    </row>
    <row r="289" spans="1:8" ht="15" customHeight="1">
      <c r="A289" s="60"/>
      <c r="B289" s="85"/>
      <c r="G289" s="18"/>
      <c r="H289" s="18"/>
    </row>
    <row r="290" spans="1:8" ht="15" customHeight="1">
      <c r="A290" s="1" t="s">
        <v>640</v>
      </c>
      <c r="B290" s="726"/>
      <c r="G290" s="18"/>
      <c r="H290" s="18"/>
    </row>
    <row r="291" spans="1:8" ht="15" customHeight="1">
      <c r="A291" s="28"/>
      <c r="B291" s="77" t="s">
        <v>435</v>
      </c>
      <c r="C291" s="15" t="s">
        <v>641</v>
      </c>
      <c r="D291" s="141"/>
      <c r="E291" s="15" t="s">
        <v>642</v>
      </c>
      <c r="F291" s="141" t="str">
        <f>IF(wskakunin_sekkei2__sikaku="", "", wskakunin_sekkei2__sikaku)</f>
        <v/>
      </c>
      <c r="G291" s="18"/>
      <c r="H291" s="18"/>
    </row>
    <row r="292" spans="1:8" ht="15" customHeight="1">
      <c r="A292" s="35"/>
      <c r="B292" s="77" t="s">
        <v>438</v>
      </c>
      <c r="C292" s="15" t="s">
        <v>643</v>
      </c>
      <c r="D292" s="141"/>
      <c r="E292" s="15" t="s">
        <v>644</v>
      </c>
      <c r="F292" s="141" t="str">
        <f>IF(wskakunin_sekkei2_SIKAKU__label="","",wskakunin_sekkei2_SIKAKU__label)</f>
        <v/>
      </c>
      <c r="G292" s="18"/>
      <c r="H292" s="18"/>
    </row>
    <row r="293" spans="1:8" ht="15" customHeight="1">
      <c r="A293" s="35"/>
      <c r="B293" s="77" t="s">
        <v>441</v>
      </c>
      <c r="C293" s="15" t="s">
        <v>645</v>
      </c>
      <c r="D293" s="141"/>
      <c r="E293" s="15" t="s">
        <v>646</v>
      </c>
      <c r="F293" s="141" t="str">
        <f>IF(wskakunin_sekkei2_TOUROKU_KIKAN__label="","",wskakunin_sekkei2_TOUROKU_KIKAN__label)</f>
        <v/>
      </c>
      <c r="G293" s="18"/>
      <c r="H293" s="18"/>
    </row>
    <row r="294" spans="1:8" ht="15" customHeight="1">
      <c r="A294" s="35"/>
      <c r="B294" s="77" t="s">
        <v>444</v>
      </c>
      <c r="C294" s="15" t="s">
        <v>647</v>
      </c>
      <c r="D294" s="220"/>
      <c r="E294" s="15" t="s">
        <v>648</v>
      </c>
      <c r="F294" s="141" t="str">
        <f>IF(wskakunin_sekkei2_KENTIKUSI_NO="","",wskakunin_sekkei2_KENTIKUSI_NO)</f>
        <v/>
      </c>
      <c r="G294" s="18"/>
      <c r="H294" s="18"/>
    </row>
    <row r="295" spans="1:8" ht="15" customHeight="1">
      <c r="A295" s="47"/>
      <c r="B295" s="77" t="s">
        <v>247</v>
      </c>
      <c r="C295" s="15" t="s">
        <v>649</v>
      </c>
      <c r="D295" s="141"/>
      <c r="E295" s="15" t="s">
        <v>650</v>
      </c>
      <c r="F295" s="141" t="str">
        <f>IF(wskakunin_sekkei2_NAME="", "", wskakunin_sekkei2_NAME)</f>
        <v/>
      </c>
      <c r="G295" s="18"/>
      <c r="H295" s="18"/>
    </row>
    <row r="296" spans="1:8" ht="15" customHeight="1">
      <c r="A296" s="47"/>
      <c r="B296" s="77" t="s">
        <v>452</v>
      </c>
      <c r="C296" s="15" t="s">
        <v>651</v>
      </c>
      <c r="D296" s="141"/>
      <c r="E296" s="15" t="s">
        <v>652</v>
      </c>
      <c r="F296" s="141" t="str">
        <f>IF(wskakunin_sekkei2_JIMU__sikaku="", "", wskakunin_sekkei2_JIMU__sikaku)</f>
        <v/>
      </c>
      <c r="G296" s="18"/>
      <c r="H296" s="18"/>
    </row>
    <row r="297" spans="1:8" ht="15" customHeight="1">
      <c r="A297" s="47"/>
      <c r="B297" s="77" t="s">
        <v>455</v>
      </c>
      <c r="C297" s="15" t="s">
        <v>653</v>
      </c>
      <c r="D297" s="141"/>
      <c r="E297" s="15" t="s">
        <v>654</v>
      </c>
      <c r="F297" s="141" t="str">
        <f>IF(wskakunin_sekkei2_JIMU_SIKAKU__label="","",wskakunin_sekkei2_JIMU_SIKAKU__label)</f>
        <v/>
      </c>
      <c r="G297" s="18"/>
      <c r="H297" s="18"/>
    </row>
    <row r="298" spans="1:8" ht="15" customHeight="1">
      <c r="A298" s="47"/>
      <c r="B298" s="77" t="s">
        <v>458</v>
      </c>
      <c r="C298" s="15" t="s">
        <v>655</v>
      </c>
      <c r="D298" s="141"/>
      <c r="E298" s="15" t="s">
        <v>656</v>
      </c>
      <c r="F298" s="141" t="str">
        <f>IF(wskakunin_sekkei2_JIMU_TOUROKU_KIKAN__label="","",wskakunin_sekkei2_JIMU_TOUROKU_KIKAN__label)</f>
        <v/>
      </c>
      <c r="G298" s="18"/>
      <c r="H298" s="18"/>
    </row>
    <row r="299" spans="1:8" ht="15" customHeight="1">
      <c r="A299" s="47"/>
      <c r="B299" s="77" t="s">
        <v>461</v>
      </c>
      <c r="C299" s="15" t="s">
        <v>657</v>
      </c>
      <c r="D299" s="220"/>
      <c r="E299" s="15" t="s">
        <v>658</v>
      </c>
      <c r="F299" s="141" t="str">
        <f>IF(wskakunin_sekkei2_JIMU_NO="","",wskakunin_sekkei2_JIMU_NO)</f>
        <v/>
      </c>
      <c r="G299" s="18"/>
      <c r="H299" s="18"/>
    </row>
    <row r="300" spans="1:8" ht="15" customHeight="1">
      <c r="A300" s="60"/>
      <c r="B300" s="77" t="s">
        <v>464</v>
      </c>
      <c r="C300" s="15" t="s">
        <v>659</v>
      </c>
      <c r="D300" s="141"/>
      <c r="E300" s="15" t="s">
        <v>660</v>
      </c>
      <c r="F300" s="141" t="str">
        <f>IF(wskakunin_sekkei2_JIMU_NAME="", "", wskakunin_sekkei2_JIMU_NAME)</f>
        <v/>
      </c>
      <c r="G300" s="18"/>
      <c r="H300" s="18"/>
    </row>
    <row r="301" spans="1:8" ht="15" customHeight="1">
      <c r="A301" s="47"/>
      <c r="B301" s="77" t="s">
        <v>628</v>
      </c>
      <c r="D301" s="37"/>
      <c r="E301" s="15" t="s">
        <v>661</v>
      </c>
      <c r="F301" s="141" t="str">
        <f>wskakunin_sekkei2_JIMU_NAME&amp;" "&amp;wskakunin_sekkei2_NAME</f>
        <v xml:space="preserve"> </v>
      </c>
      <c r="G301" s="18"/>
      <c r="H301" s="18"/>
    </row>
    <row r="302" spans="1:8" ht="15" customHeight="1">
      <c r="A302" s="60"/>
      <c r="B302" s="77" t="s">
        <v>257</v>
      </c>
      <c r="C302" s="15" t="s">
        <v>662</v>
      </c>
      <c r="D302" s="220"/>
      <c r="E302" s="15" t="s">
        <v>663</v>
      </c>
      <c r="F302" s="141" t="str">
        <f>IF(wskakunin_sekkei2_ZIP="", "", wskakunin_sekkei2_ZIP)</f>
        <v/>
      </c>
      <c r="G302" s="18"/>
      <c r="H302" s="18" t="s">
        <v>632</v>
      </c>
    </row>
    <row r="303" spans="1:8" ht="15" customHeight="1">
      <c r="A303" s="60"/>
      <c r="B303" s="77" t="s">
        <v>469</v>
      </c>
      <c r="C303" s="15" t="s">
        <v>664</v>
      </c>
      <c r="D303" s="141"/>
      <c r="E303" s="15" t="s">
        <v>665</v>
      </c>
      <c r="F303" s="141" t="str">
        <f>IF(wskakunin_sekkei2__address="", "", wskakunin_sekkei2__address)</f>
        <v/>
      </c>
      <c r="G303" s="18"/>
      <c r="H303" s="18"/>
    </row>
    <row r="304" spans="1:8" ht="15" customHeight="1">
      <c r="A304" s="60"/>
      <c r="B304" s="77" t="s">
        <v>264</v>
      </c>
      <c r="C304" s="15" t="s">
        <v>666</v>
      </c>
      <c r="D304" s="220"/>
      <c r="E304" s="15" t="s">
        <v>667</v>
      </c>
      <c r="F304" s="141" t="str">
        <f>IF(wskakunin_sekkei2_TEL="", "", wskakunin_sekkei2_TEL)</f>
        <v/>
      </c>
      <c r="G304" s="18"/>
      <c r="H304" s="18"/>
    </row>
    <row r="305" spans="1:8" ht="15" customHeight="1">
      <c r="A305" s="60"/>
      <c r="B305" s="77" t="s">
        <v>637</v>
      </c>
      <c r="C305" s="15" t="s">
        <v>668</v>
      </c>
      <c r="D305" s="220"/>
      <c r="E305" s="15" t="s">
        <v>669</v>
      </c>
      <c r="F305" s="141" t="str">
        <f>IF(wskakunin_sekkei2_DOC="","",wskakunin_sekkei2_DOC)</f>
        <v/>
      </c>
      <c r="G305" s="18"/>
      <c r="H305" s="18"/>
    </row>
    <row r="306" spans="1:8" ht="15" customHeight="1">
      <c r="A306" s="60"/>
      <c r="B306" s="85"/>
      <c r="G306" s="18"/>
      <c r="H306" s="18"/>
    </row>
    <row r="307" spans="1:8" ht="15" customHeight="1">
      <c r="A307" s="1" t="s">
        <v>670</v>
      </c>
      <c r="B307" s="726"/>
      <c r="G307" s="18"/>
      <c r="H307" s="18"/>
    </row>
    <row r="308" spans="1:8" ht="15" customHeight="1">
      <c r="A308" s="28"/>
      <c r="B308" s="77" t="s">
        <v>435</v>
      </c>
      <c r="C308" s="15" t="s">
        <v>671</v>
      </c>
      <c r="D308" s="141"/>
      <c r="E308" s="15" t="s">
        <v>672</v>
      </c>
      <c r="F308" s="141" t="str">
        <f>IF(wskakunin_sekkei3__sikaku="", "", wskakunin_sekkei3__sikaku)</f>
        <v/>
      </c>
      <c r="G308" s="18"/>
      <c r="H308" s="18"/>
    </row>
    <row r="309" spans="1:8" ht="15" customHeight="1">
      <c r="A309" s="35"/>
      <c r="B309" s="77" t="s">
        <v>438</v>
      </c>
      <c r="C309" s="15" t="s">
        <v>673</v>
      </c>
      <c r="D309" s="141"/>
      <c r="E309" s="15" t="s">
        <v>674</v>
      </c>
      <c r="F309" s="141" t="str">
        <f>IF(wskakunin_sekkei3_SIKAKU__label="","",wskakunin_sekkei3_SIKAKU__label)</f>
        <v/>
      </c>
      <c r="G309" s="18"/>
      <c r="H309" s="18"/>
    </row>
    <row r="310" spans="1:8" ht="15" customHeight="1">
      <c r="A310" s="35"/>
      <c r="B310" s="77" t="s">
        <v>441</v>
      </c>
      <c r="C310" s="15" t="s">
        <v>675</v>
      </c>
      <c r="D310" s="141"/>
      <c r="E310" s="15" t="s">
        <v>676</v>
      </c>
      <c r="F310" s="141" t="str">
        <f>IF(wskakunin_sekkei3_TOUROKU_KIKAN__label="","",wskakunin_sekkei3_TOUROKU_KIKAN__label)</f>
        <v/>
      </c>
      <c r="G310" s="18"/>
      <c r="H310" s="18"/>
    </row>
    <row r="311" spans="1:8" ht="15" customHeight="1">
      <c r="A311" s="35"/>
      <c r="B311" s="77" t="s">
        <v>444</v>
      </c>
      <c r="C311" s="15" t="s">
        <v>677</v>
      </c>
      <c r="D311" s="220"/>
      <c r="E311" s="15" t="s">
        <v>678</v>
      </c>
      <c r="F311" s="141" t="str">
        <f>IF(wskakunin_sekkei3_KENTIKUSI_NO="","",wskakunin_sekkei3_KENTIKUSI_NO)</f>
        <v/>
      </c>
      <c r="G311" s="18"/>
      <c r="H311" s="18"/>
    </row>
    <row r="312" spans="1:8" ht="15" customHeight="1">
      <c r="A312" s="47"/>
      <c r="B312" s="77" t="s">
        <v>247</v>
      </c>
      <c r="C312" s="15" t="s">
        <v>679</v>
      </c>
      <c r="D312" s="141"/>
      <c r="E312" s="15" t="s">
        <v>680</v>
      </c>
      <c r="F312" s="141" t="str">
        <f>IF(wskakunin_sekkei3_NAME="", "", wskakunin_sekkei3_NAME)</f>
        <v/>
      </c>
      <c r="G312" s="18"/>
      <c r="H312" s="18"/>
    </row>
    <row r="313" spans="1:8" ht="15" customHeight="1">
      <c r="A313" s="47"/>
      <c r="B313" s="77" t="s">
        <v>452</v>
      </c>
      <c r="C313" s="15" t="s">
        <v>681</v>
      </c>
      <c r="D313" s="141"/>
      <c r="E313" s="15" t="s">
        <v>682</v>
      </c>
      <c r="F313" s="141" t="str">
        <f>IF(wskakunin_sekkei3_JIMU__sikaku="", "", wskakunin_sekkei3_JIMU__sikaku)</f>
        <v/>
      </c>
      <c r="G313" s="18"/>
      <c r="H313" s="18"/>
    </row>
    <row r="314" spans="1:8" ht="15" customHeight="1">
      <c r="A314" s="47"/>
      <c r="B314" s="77" t="s">
        <v>455</v>
      </c>
      <c r="C314" s="15" t="s">
        <v>683</v>
      </c>
      <c r="D314" s="141"/>
      <c r="E314" s="15" t="s">
        <v>684</v>
      </c>
      <c r="F314" s="141" t="str">
        <f>IF(wskakunin_sekkei3_JIMU_SIKAKU__label="","",wskakunin_sekkei3_JIMU_SIKAKU__label)</f>
        <v/>
      </c>
      <c r="G314" s="18"/>
      <c r="H314" s="18"/>
    </row>
    <row r="315" spans="1:8" ht="15" customHeight="1">
      <c r="A315" s="47"/>
      <c r="B315" s="77" t="s">
        <v>458</v>
      </c>
      <c r="C315" s="15" t="s">
        <v>685</v>
      </c>
      <c r="D315" s="141"/>
      <c r="E315" s="15" t="s">
        <v>686</v>
      </c>
      <c r="F315" s="141" t="str">
        <f>IF(wskakunin_sekkei3_JIMU_TOUROKU_KIKAN__label="","",wskakunin_sekkei3_JIMU_TOUROKU_KIKAN__label)</f>
        <v/>
      </c>
      <c r="G315" s="18"/>
      <c r="H315" s="18"/>
    </row>
    <row r="316" spans="1:8" ht="15" customHeight="1">
      <c r="A316" s="47"/>
      <c r="B316" s="77" t="s">
        <v>461</v>
      </c>
      <c r="C316" s="15" t="s">
        <v>687</v>
      </c>
      <c r="D316" s="220"/>
      <c r="E316" s="15" t="s">
        <v>688</v>
      </c>
      <c r="F316" s="141" t="str">
        <f>IF(wskakunin_sekkei3_JIMU_NO="","",wskakunin_sekkei3_JIMU_NO)</f>
        <v/>
      </c>
      <c r="G316" s="18"/>
      <c r="H316" s="18"/>
    </row>
    <row r="317" spans="1:8" ht="15" customHeight="1">
      <c r="A317" s="60"/>
      <c r="B317" s="77" t="s">
        <v>464</v>
      </c>
      <c r="C317" s="15" t="s">
        <v>689</v>
      </c>
      <c r="D317" s="141"/>
      <c r="E317" s="15" t="s">
        <v>690</v>
      </c>
      <c r="F317" s="141" t="str">
        <f>IF(wskakunin_sekkei3_JIMU_NAME="", "", wskakunin_sekkei3_JIMU_NAME)</f>
        <v/>
      </c>
      <c r="G317" s="18"/>
      <c r="H317" s="18"/>
    </row>
    <row r="318" spans="1:8" ht="15" customHeight="1">
      <c r="A318" s="47"/>
      <c r="B318" s="77" t="s">
        <v>628</v>
      </c>
      <c r="D318" s="37"/>
      <c r="E318" s="15" t="s">
        <v>691</v>
      </c>
      <c r="F318" s="141" t="str">
        <f>wskakunin_sekkei3_JIMU_NAME&amp;" "&amp;wskakunin_sekkei3_NAME</f>
        <v xml:space="preserve"> </v>
      </c>
      <c r="G318" s="18"/>
      <c r="H318" s="18"/>
    </row>
    <row r="319" spans="1:8" ht="15" customHeight="1">
      <c r="A319" s="60"/>
      <c r="B319" s="77" t="s">
        <v>257</v>
      </c>
      <c r="C319" s="15" t="s">
        <v>692</v>
      </c>
      <c r="D319" s="220"/>
      <c r="E319" s="15" t="s">
        <v>693</v>
      </c>
      <c r="F319" s="141" t="str">
        <f>IF(wskakunin_sekkei3_ZIP="", "", wskakunin_sekkei3_ZIP)</f>
        <v/>
      </c>
      <c r="G319" s="18"/>
      <c r="H319" s="18" t="s">
        <v>632</v>
      </c>
    </row>
    <row r="320" spans="1:8" ht="15" customHeight="1">
      <c r="A320" s="60"/>
      <c r="B320" s="77" t="s">
        <v>469</v>
      </c>
      <c r="C320" s="15" t="s">
        <v>694</v>
      </c>
      <c r="D320" s="141"/>
      <c r="E320" s="15" t="s">
        <v>695</v>
      </c>
      <c r="F320" s="141" t="str">
        <f>IF(wskakunin_sekkei3__address="", "", wskakunin_sekkei3__address)</f>
        <v/>
      </c>
      <c r="G320" s="18"/>
      <c r="H320" s="18"/>
    </row>
    <row r="321" spans="1:8" ht="15" customHeight="1">
      <c r="A321" s="60"/>
      <c r="B321" s="77" t="s">
        <v>264</v>
      </c>
      <c r="C321" s="15" t="s">
        <v>696</v>
      </c>
      <c r="D321" s="220"/>
      <c r="E321" s="15" t="s">
        <v>697</v>
      </c>
      <c r="F321" s="141" t="str">
        <f>IF(wskakunin_sekkei3_TEL="", "", wskakunin_sekkei3_TEL)</f>
        <v/>
      </c>
      <c r="G321" s="18"/>
      <c r="H321" s="18"/>
    </row>
    <row r="322" spans="1:8" ht="15" customHeight="1">
      <c r="A322" s="60"/>
      <c r="B322" s="77" t="s">
        <v>637</v>
      </c>
      <c r="C322" s="15" t="s">
        <v>698</v>
      </c>
      <c r="D322" s="220"/>
      <c r="E322" s="15" t="s">
        <v>699</v>
      </c>
      <c r="F322" s="141" t="str">
        <f>IF(wskakunin_sekkei3_DOC="","",wskakunin_sekkei3_DOC)</f>
        <v/>
      </c>
      <c r="G322" s="18"/>
      <c r="H322" s="18"/>
    </row>
    <row r="323" spans="1:8" ht="15" customHeight="1">
      <c r="A323" s="60"/>
      <c r="B323" s="85"/>
      <c r="G323" s="18"/>
      <c r="H323" s="18"/>
    </row>
    <row r="324" spans="1:8" ht="15" customHeight="1">
      <c r="A324" s="49" t="s">
        <v>700</v>
      </c>
      <c r="B324" s="726"/>
      <c r="G324" s="18"/>
      <c r="H324" s="18"/>
    </row>
    <row r="325" spans="1:8" ht="15" customHeight="1">
      <c r="A325" s="83"/>
      <c r="B325" s="77" t="s">
        <v>435</v>
      </c>
      <c r="C325" s="15" t="s">
        <v>701</v>
      </c>
      <c r="D325" s="141"/>
      <c r="E325" s="15" t="s">
        <v>702</v>
      </c>
      <c r="F325" s="141" t="str">
        <f>IF(wskakunin_sekkei4__sikaku="", "", wskakunin_sekkei4__sikaku)</f>
        <v/>
      </c>
      <c r="G325" s="18"/>
      <c r="H325" s="18"/>
    </row>
    <row r="326" spans="1:8" ht="15" customHeight="1">
      <c r="A326" s="83"/>
      <c r="B326" s="77" t="s">
        <v>438</v>
      </c>
      <c r="C326" s="15" t="s">
        <v>703</v>
      </c>
      <c r="D326" s="141"/>
      <c r="E326" s="15" t="s">
        <v>704</v>
      </c>
      <c r="F326" s="141" t="str">
        <f>IF(wskakunin_sekkei4_SIKAKU__label="","",wskakunin_sekkei4_SIKAKU__label)</f>
        <v/>
      </c>
      <c r="G326" s="18"/>
      <c r="H326" s="18"/>
    </row>
    <row r="327" spans="1:8" ht="15" customHeight="1">
      <c r="A327" s="83"/>
      <c r="B327" s="77" t="s">
        <v>441</v>
      </c>
      <c r="C327" s="15" t="s">
        <v>705</v>
      </c>
      <c r="D327" s="141"/>
      <c r="E327" s="15" t="s">
        <v>706</v>
      </c>
      <c r="F327" s="141" t="str">
        <f>IF(wskakunin_sekkei4_TOUROKU_KIKAN__label="","",wskakunin_sekkei4_TOUROKU_KIKAN__label)</f>
        <v/>
      </c>
      <c r="G327" s="18"/>
      <c r="H327" s="18"/>
    </row>
    <row r="328" spans="1:8" ht="15" customHeight="1">
      <c r="A328" s="83"/>
      <c r="B328" s="77" t="s">
        <v>444</v>
      </c>
      <c r="C328" s="15" t="s">
        <v>707</v>
      </c>
      <c r="D328" s="220"/>
      <c r="E328" s="15" t="s">
        <v>708</v>
      </c>
      <c r="F328" s="141" t="str">
        <f>IF(wskakunin_sekkei4_KENTIKUSI_NO="","",wskakunin_sekkei4_KENTIKUSI_NO)</f>
        <v/>
      </c>
      <c r="G328" s="18"/>
      <c r="H328" s="18"/>
    </row>
    <row r="329" spans="1:8" ht="15" customHeight="1">
      <c r="A329" s="51"/>
      <c r="B329" s="77" t="s">
        <v>247</v>
      </c>
      <c r="C329" s="15" t="s">
        <v>709</v>
      </c>
      <c r="D329" s="141"/>
      <c r="E329" s="15" t="s">
        <v>710</v>
      </c>
      <c r="F329" s="141" t="str">
        <f>IF(wskakunin_sekkei4_NAME="", "", wskakunin_sekkei4_NAME)</f>
        <v/>
      </c>
      <c r="G329" s="18"/>
      <c r="H329" s="18"/>
    </row>
    <row r="330" spans="1:8" ht="15" customHeight="1">
      <c r="A330" s="51"/>
      <c r="B330" s="77" t="s">
        <v>452</v>
      </c>
      <c r="C330" s="15" t="s">
        <v>711</v>
      </c>
      <c r="D330" s="141"/>
      <c r="E330" s="15" t="s">
        <v>712</v>
      </c>
      <c r="F330" s="141" t="str">
        <f>IF(wskakunin_sekkei4_JIMU__sikaku="", "", wskakunin_sekkei4_JIMU__sikaku)</f>
        <v/>
      </c>
      <c r="G330" s="18"/>
      <c r="H330" s="18"/>
    </row>
    <row r="331" spans="1:8" ht="15" customHeight="1">
      <c r="A331" s="51"/>
      <c r="B331" s="77" t="s">
        <v>455</v>
      </c>
      <c r="C331" s="15" t="s">
        <v>713</v>
      </c>
      <c r="D331" s="141"/>
      <c r="E331" s="15" t="s">
        <v>714</v>
      </c>
      <c r="F331" s="141" t="str">
        <f>IF(wskakunin_sekkei4_JIMU_SIKAKU__label="","",wskakunin_sekkei4_JIMU_SIKAKU__label)</f>
        <v/>
      </c>
      <c r="G331" s="18"/>
      <c r="H331" s="18"/>
    </row>
    <row r="332" spans="1:8" ht="15" customHeight="1">
      <c r="A332" s="51"/>
      <c r="B332" s="77" t="s">
        <v>458</v>
      </c>
      <c r="C332" s="15" t="s">
        <v>715</v>
      </c>
      <c r="D332" s="141"/>
      <c r="E332" s="15" t="s">
        <v>716</v>
      </c>
      <c r="F332" s="141" t="str">
        <f>IF(wskakunin_sekkei4_JIMU_TOUROKU_KIKAN__label="","",wskakunin_sekkei4_JIMU_TOUROKU_KIKAN__label)</f>
        <v/>
      </c>
      <c r="G332" s="18"/>
      <c r="H332" s="18"/>
    </row>
    <row r="333" spans="1:8" ht="15" customHeight="1">
      <c r="A333" s="51"/>
      <c r="B333" s="77" t="s">
        <v>461</v>
      </c>
      <c r="C333" s="15" t="s">
        <v>717</v>
      </c>
      <c r="D333" s="220"/>
      <c r="E333" s="15" t="s">
        <v>718</v>
      </c>
      <c r="F333" s="141" t="str">
        <f>IF(wskakunin_sekkei4_JIMU_NO="","",wskakunin_sekkei4_JIMU_NO)</f>
        <v/>
      </c>
      <c r="G333" s="18"/>
      <c r="H333" s="18"/>
    </row>
    <row r="334" spans="1:8" ht="15" customHeight="1">
      <c r="A334" s="51"/>
      <c r="B334" s="77" t="s">
        <v>464</v>
      </c>
      <c r="C334" s="15" t="s">
        <v>719</v>
      </c>
      <c r="D334" s="141"/>
      <c r="E334" s="15" t="s">
        <v>720</v>
      </c>
      <c r="F334" s="141" t="str">
        <f>IF(wskakunin_sekkei4_JIMU_NAME="", "", wskakunin_sekkei4_JIMU_NAME)</f>
        <v/>
      </c>
      <c r="G334" s="18"/>
      <c r="H334" s="18"/>
    </row>
    <row r="335" spans="1:8" ht="15" customHeight="1">
      <c r="A335" s="51"/>
      <c r="B335" s="77" t="s">
        <v>628</v>
      </c>
      <c r="D335" s="37"/>
      <c r="E335" s="15" t="s">
        <v>721</v>
      </c>
      <c r="F335" s="141" t="str">
        <f>wskakunin_sekkei4_JIMU_NAME&amp;" "&amp;wskakunin_sekkei4_NAME</f>
        <v xml:space="preserve"> </v>
      </c>
      <c r="G335" s="18"/>
      <c r="H335" s="18"/>
    </row>
    <row r="336" spans="1:8" ht="15" customHeight="1">
      <c r="A336" s="51"/>
      <c r="B336" s="77" t="s">
        <v>257</v>
      </c>
      <c r="C336" s="15" t="s">
        <v>722</v>
      </c>
      <c r="D336" s="220"/>
      <c r="E336" s="15" t="s">
        <v>723</v>
      </c>
      <c r="F336" s="141" t="str">
        <f>IF(wskakunin_sekkei4_ZIP="", "", wskakunin_sekkei4_ZIP)</f>
        <v/>
      </c>
      <c r="G336" s="18"/>
      <c r="H336" s="18" t="s">
        <v>632</v>
      </c>
    </row>
    <row r="337" spans="1:8" ht="15" customHeight="1">
      <c r="A337" s="51"/>
      <c r="B337" s="77" t="s">
        <v>469</v>
      </c>
      <c r="C337" s="15" t="s">
        <v>724</v>
      </c>
      <c r="D337" s="141"/>
      <c r="E337" s="15" t="s">
        <v>725</v>
      </c>
      <c r="F337" s="141" t="str">
        <f>IF(wskakunin_sekkei4__address="", "", wskakunin_sekkei4__address)</f>
        <v/>
      </c>
      <c r="G337" s="18"/>
      <c r="H337" s="18"/>
    </row>
    <row r="338" spans="1:8" ht="15" customHeight="1">
      <c r="A338" s="51"/>
      <c r="B338" s="77" t="s">
        <v>264</v>
      </c>
      <c r="C338" s="15" t="s">
        <v>726</v>
      </c>
      <c r="D338" s="220"/>
      <c r="E338" s="15" t="s">
        <v>727</v>
      </c>
      <c r="F338" s="141" t="str">
        <f>IF(wskakunin_sekkei4_TEL="", "", wskakunin_sekkei4_TEL)</f>
        <v/>
      </c>
      <c r="G338" s="18"/>
      <c r="H338" s="18"/>
    </row>
    <row r="339" spans="1:8" ht="15" customHeight="1">
      <c r="A339" s="51"/>
      <c r="B339" s="77" t="s">
        <v>637</v>
      </c>
      <c r="C339" s="15" t="s">
        <v>728</v>
      </c>
      <c r="D339" s="220"/>
      <c r="E339" s="15" t="s">
        <v>729</v>
      </c>
      <c r="F339" s="141" t="str">
        <f>IF(wskakunin_sekkei4_DOC="","",wskakunin_sekkei4_DOC)</f>
        <v/>
      </c>
      <c r="G339" s="18"/>
      <c r="H339" s="18"/>
    </row>
    <row r="340" spans="1:8" ht="15" customHeight="1">
      <c r="A340" s="52"/>
      <c r="B340" s="85"/>
      <c r="G340" s="18"/>
      <c r="H340" s="18"/>
    </row>
    <row r="341" spans="1:8" ht="15" customHeight="1">
      <c r="A341" s="1" t="s">
        <v>730</v>
      </c>
      <c r="B341" s="726"/>
      <c r="G341" s="18"/>
      <c r="H341" s="18"/>
    </row>
    <row r="342" spans="1:8" ht="15" customHeight="1">
      <c r="A342" s="28"/>
      <c r="B342" s="77" t="s">
        <v>435</v>
      </c>
      <c r="C342" s="15" t="s">
        <v>731</v>
      </c>
      <c r="D342" s="141"/>
      <c r="E342" s="15" t="s">
        <v>732</v>
      </c>
      <c r="F342" s="141" t="str">
        <f>IF(wskakunin_sekkei5__sikaku="", "", wskakunin_sekkei5__sikaku)</f>
        <v/>
      </c>
      <c r="H342" s="18"/>
    </row>
    <row r="343" spans="1:8" ht="15" customHeight="1">
      <c r="A343" s="35"/>
      <c r="B343" s="77" t="s">
        <v>438</v>
      </c>
      <c r="C343" s="15" t="s">
        <v>733</v>
      </c>
      <c r="D343" s="141"/>
      <c r="E343" s="15" t="s">
        <v>734</v>
      </c>
      <c r="F343" s="141" t="str">
        <f>IF(wskakunin_sekkei5_SIKAKU__label="","",wskakunin_sekkei5_SIKAKU__label)</f>
        <v/>
      </c>
      <c r="H343" s="18"/>
    </row>
    <row r="344" spans="1:8" ht="15" customHeight="1">
      <c r="A344" s="35"/>
      <c r="B344" s="77" t="s">
        <v>441</v>
      </c>
      <c r="C344" s="15" t="s">
        <v>735</v>
      </c>
      <c r="D344" s="141"/>
      <c r="E344" s="15" t="s">
        <v>736</v>
      </c>
      <c r="F344" s="141" t="str">
        <f>IF(wskakunin_sekkei5_TOUROKU_KIKAN__label="","",wskakunin_sekkei5_TOUROKU_KIKAN__label)</f>
        <v/>
      </c>
      <c r="H344" s="18"/>
    </row>
    <row r="345" spans="1:8" ht="15" customHeight="1">
      <c r="A345" s="35"/>
      <c r="B345" s="77" t="s">
        <v>444</v>
      </c>
      <c r="C345" s="15" t="s">
        <v>737</v>
      </c>
      <c r="D345" s="220"/>
      <c r="E345" s="15" t="s">
        <v>738</v>
      </c>
      <c r="F345" s="141" t="str">
        <f>IF(wskakunin_sekkei5_KENTIKUSI_NO="","",wskakunin_sekkei5_KENTIKUSI_NO)</f>
        <v/>
      </c>
      <c r="H345" s="18"/>
    </row>
    <row r="346" spans="1:8" ht="15" customHeight="1">
      <c r="A346" s="47"/>
      <c r="B346" s="77" t="s">
        <v>247</v>
      </c>
      <c r="C346" s="15" t="s">
        <v>739</v>
      </c>
      <c r="D346" s="141"/>
      <c r="E346" s="15" t="s">
        <v>740</v>
      </c>
      <c r="F346" s="141" t="str">
        <f>IF(wskakunin_sekkei5_NAME="", "", wskakunin_sekkei5_NAME)</f>
        <v/>
      </c>
      <c r="H346" s="18"/>
    </row>
    <row r="347" spans="1:8" ht="15" customHeight="1">
      <c r="A347" s="47"/>
      <c r="B347" s="77" t="s">
        <v>452</v>
      </c>
      <c r="C347" s="15" t="s">
        <v>741</v>
      </c>
      <c r="D347" s="141"/>
      <c r="E347" s="15" t="s">
        <v>742</v>
      </c>
      <c r="F347" s="141" t="str">
        <f>IF(wskakunin_sekkei5_JIMU__sikaku="", "", wskakunin_sekkei5_JIMU__sikaku)</f>
        <v/>
      </c>
      <c r="H347" s="18"/>
    </row>
    <row r="348" spans="1:8" ht="15" customHeight="1">
      <c r="A348" s="47"/>
      <c r="B348" s="77" t="s">
        <v>455</v>
      </c>
      <c r="C348" s="15" t="s">
        <v>743</v>
      </c>
      <c r="D348" s="141"/>
      <c r="E348" s="15" t="s">
        <v>744</v>
      </c>
      <c r="F348" s="141" t="str">
        <f>IF(wskakunin_sekkei5_JIMU_SIKAKU__label="","",wskakunin_sekkei5_JIMU_SIKAKU__label)</f>
        <v/>
      </c>
      <c r="H348" s="18"/>
    </row>
    <row r="349" spans="1:8" ht="15" customHeight="1">
      <c r="A349" s="47"/>
      <c r="B349" s="77" t="s">
        <v>458</v>
      </c>
      <c r="C349" s="15" t="s">
        <v>745</v>
      </c>
      <c r="D349" s="141"/>
      <c r="E349" s="15" t="s">
        <v>746</v>
      </c>
      <c r="F349" s="141" t="str">
        <f>IF(wskakunin_sekkei5_JIMU_TOUROKU_KIKAN__label="","",wskakunin_sekkei5_JIMU_TOUROKU_KIKAN__label)</f>
        <v/>
      </c>
      <c r="H349" s="18"/>
    </row>
    <row r="350" spans="1:8" ht="15" customHeight="1">
      <c r="A350" s="47"/>
      <c r="B350" s="77" t="s">
        <v>461</v>
      </c>
      <c r="C350" s="15" t="s">
        <v>747</v>
      </c>
      <c r="D350" s="220"/>
      <c r="E350" s="15" t="s">
        <v>748</v>
      </c>
      <c r="F350" s="141" t="str">
        <f>IF(wskakunin_sekkei5_JIMU_NO="","",wskakunin_sekkei5_JIMU_NO)</f>
        <v/>
      </c>
      <c r="H350" s="18"/>
    </row>
    <row r="351" spans="1:8" ht="15" customHeight="1">
      <c r="A351" s="60"/>
      <c r="B351" s="77" t="s">
        <v>464</v>
      </c>
      <c r="C351" s="15" t="s">
        <v>749</v>
      </c>
      <c r="D351" s="141"/>
      <c r="E351" s="15" t="s">
        <v>750</v>
      </c>
      <c r="F351" s="141" t="str">
        <f>IF(wskakunin_sekkei5_JIMU_NAME="", "", wskakunin_sekkei5_JIMU_NAME)</f>
        <v/>
      </c>
      <c r="H351" s="18"/>
    </row>
    <row r="352" spans="1:8" ht="15" customHeight="1">
      <c r="A352" s="47"/>
      <c r="B352" s="77" t="s">
        <v>628</v>
      </c>
      <c r="D352" s="37"/>
      <c r="E352" s="15" t="s">
        <v>751</v>
      </c>
      <c r="F352" s="141" t="str">
        <f>wskakunin_sekkei5_JIMU_NAME&amp;" "&amp;wskakunin_sekkei5_NAME</f>
        <v xml:space="preserve"> </v>
      </c>
      <c r="H352" s="18"/>
    </row>
    <row r="353" spans="1:8" ht="15" customHeight="1">
      <c r="A353" s="60"/>
      <c r="B353" s="77" t="s">
        <v>257</v>
      </c>
      <c r="C353" s="15" t="s">
        <v>752</v>
      </c>
      <c r="D353" s="220"/>
      <c r="E353" s="15" t="s">
        <v>753</v>
      </c>
      <c r="F353" s="141" t="str">
        <f>IF(wskakunin_sekkei5_ZIP="", "", wskakunin_sekkei5_ZIP)</f>
        <v/>
      </c>
      <c r="H353" s="18" t="s">
        <v>632</v>
      </c>
    </row>
    <row r="354" spans="1:8" ht="15" customHeight="1">
      <c r="A354" s="60"/>
      <c r="B354" s="77" t="s">
        <v>469</v>
      </c>
      <c r="C354" s="15" t="s">
        <v>754</v>
      </c>
      <c r="D354" s="141"/>
      <c r="E354" s="15" t="s">
        <v>755</v>
      </c>
      <c r="F354" s="141" t="str">
        <f>IF(wskakunin_sekkei5__address="", "", wskakunin_sekkei5__address)</f>
        <v/>
      </c>
      <c r="H354" s="18"/>
    </row>
    <row r="355" spans="1:8" ht="15" customHeight="1">
      <c r="A355" s="60"/>
      <c r="B355" s="77" t="s">
        <v>264</v>
      </c>
      <c r="C355" s="15" t="s">
        <v>756</v>
      </c>
      <c r="D355" s="220"/>
      <c r="E355" s="15" t="s">
        <v>757</v>
      </c>
      <c r="F355" s="141" t="str">
        <f>IF(wskakunin_sekkei5_TEL="", "", wskakunin_sekkei5_TEL)</f>
        <v/>
      </c>
      <c r="H355" s="18"/>
    </row>
    <row r="356" spans="1:8" ht="15" customHeight="1">
      <c r="A356" s="60"/>
      <c r="B356" s="77" t="s">
        <v>637</v>
      </c>
      <c r="C356" s="15" t="s">
        <v>758</v>
      </c>
      <c r="D356" s="220"/>
      <c r="E356" s="15" t="s">
        <v>759</v>
      </c>
      <c r="F356" s="141" t="str">
        <f>IF(wskakunin_sekkei5_DOC="","",wskakunin_sekkei5_DOC)</f>
        <v/>
      </c>
      <c r="H356" s="18"/>
    </row>
    <row r="357" spans="1:8" ht="15" customHeight="1">
      <c r="A357" s="60"/>
      <c r="B357" s="85"/>
      <c r="H357" s="18"/>
    </row>
    <row r="358" spans="1:8" ht="15" customHeight="1">
      <c r="A358" s="1" t="s">
        <v>760</v>
      </c>
      <c r="B358" s="726"/>
      <c r="H358" s="18"/>
    </row>
    <row r="359" spans="1:8" ht="15" customHeight="1">
      <c r="A359" s="28"/>
      <c r="B359" s="77" t="s">
        <v>435</v>
      </c>
      <c r="C359" s="15" t="s">
        <v>761</v>
      </c>
      <c r="D359" s="141"/>
      <c r="E359" s="15" t="s">
        <v>762</v>
      </c>
      <c r="F359" s="141" t="str">
        <f>IF(wskakunin_sekkei6__sikaku="", "", wskakunin_sekkei6__sikaku)</f>
        <v/>
      </c>
      <c r="H359" s="18"/>
    </row>
    <row r="360" spans="1:8" ht="15" customHeight="1">
      <c r="A360" s="35"/>
      <c r="B360" s="77" t="s">
        <v>438</v>
      </c>
      <c r="C360" s="15" t="s">
        <v>763</v>
      </c>
      <c r="D360" s="141"/>
      <c r="E360" s="15" t="s">
        <v>764</v>
      </c>
      <c r="F360" s="141" t="str">
        <f>IF(wskakunin_sekkei6_SIKAKU__label="","",wskakunin_sekkei6_SIKAKU__label)</f>
        <v/>
      </c>
      <c r="H360" s="18"/>
    </row>
    <row r="361" spans="1:8" ht="15" customHeight="1">
      <c r="A361" s="35"/>
      <c r="B361" s="77" t="s">
        <v>441</v>
      </c>
      <c r="C361" s="15" t="s">
        <v>765</v>
      </c>
      <c r="D361" s="141"/>
      <c r="E361" s="15" t="s">
        <v>766</v>
      </c>
      <c r="F361" s="141" t="str">
        <f>IF(wskakunin_sekkei6_TOUROKU_KIKAN__label="","",wskakunin_sekkei6_TOUROKU_KIKAN__label)</f>
        <v/>
      </c>
      <c r="H361" s="18"/>
    </row>
    <row r="362" spans="1:8" ht="15" customHeight="1">
      <c r="A362" s="35"/>
      <c r="B362" s="77" t="s">
        <v>444</v>
      </c>
      <c r="C362" s="15" t="s">
        <v>767</v>
      </c>
      <c r="D362" s="220"/>
      <c r="E362" s="15" t="s">
        <v>768</v>
      </c>
      <c r="F362" s="141" t="str">
        <f>IF(wskakunin_sekkei6_KENTIKUSI_NO="","",wskakunin_sekkei6_KENTIKUSI_NO)</f>
        <v/>
      </c>
      <c r="H362" s="18"/>
    </row>
    <row r="363" spans="1:8" ht="15" customHeight="1">
      <c r="A363" s="47"/>
      <c r="B363" s="77" t="s">
        <v>247</v>
      </c>
      <c r="C363" s="15" t="s">
        <v>769</v>
      </c>
      <c r="D363" s="141"/>
      <c r="E363" s="15" t="s">
        <v>770</v>
      </c>
      <c r="F363" s="141" t="str">
        <f>IF(wskakunin_sekkei6_NAME="", "", wskakunin_sekkei6_NAME)</f>
        <v/>
      </c>
      <c r="H363" s="18"/>
    </row>
    <row r="364" spans="1:8" ht="15" customHeight="1">
      <c r="A364" s="47"/>
      <c r="B364" s="77" t="s">
        <v>452</v>
      </c>
      <c r="C364" s="15" t="s">
        <v>771</v>
      </c>
      <c r="D364" s="141"/>
      <c r="E364" s="15" t="s">
        <v>772</v>
      </c>
      <c r="F364" s="141" t="str">
        <f>IF(wskakunin_sekkei6_JIMU__sikaku="", "", wskakunin_sekkei6_JIMU__sikaku)</f>
        <v/>
      </c>
      <c r="H364" s="18"/>
    </row>
    <row r="365" spans="1:8" ht="15" customHeight="1">
      <c r="A365" s="47"/>
      <c r="B365" s="77" t="s">
        <v>455</v>
      </c>
      <c r="C365" s="15" t="s">
        <v>773</v>
      </c>
      <c r="D365" s="141"/>
      <c r="E365" s="15" t="s">
        <v>774</v>
      </c>
      <c r="F365" s="141" t="str">
        <f>IF(wskakunin_sekkei6_JIMU_SIKAKU__label="","",wskakunin_sekkei6_JIMU_SIKAKU__label)</f>
        <v/>
      </c>
      <c r="H365" s="18"/>
    </row>
    <row r="366" spans="1:8" ht="15" customHeight="1">
      <c r="A366" s="47"/>
      <c r="B366" s="77" t="s">
        <v>458</v>
      </c>
      <c r="C366" s="15" t="s">
        <v>775</v>
      </c>
      <c r="D366" s="141"/>
      <c r="E366" s="15" t="s">
        <v>776</v>
      </c>
      <c r="F366" s="141" t="str">
        <f>IF(wskakunin_sekkei6_JIMU_TOUROKU_KIKAN__label="","",wskakunin_sekkei6_JIMU_TOUROKU_KIKAN__label)</f>
        <v/>
      </c>
      <c r="H366" s="18"/>
    </row>
    <row r="367" spans="1:8" ht="15" customHeight="1">
      <c r="A367" s="47"/>
      <c r="B367" s="77" t="s">
        <v>461</v>
      </c>
      <c r="C367" s="15" t="s">
        <v>777</v>
      </c>
      <c r="D367" s="220"/>
      <c r="E367" s="15" t="s">
        <v>778</v>
      </c>
      <c r="F367" s="141" t="str">
        <f>IF(wskakunin_sekkei6_JIMU_NO="","",wskakunin_sekkei6_JIMU_NO)</f>
        <v/>
      </c>
      <c r="H367" s="18"/>
    </row>
    <row r="368" spans="1:8" ht="15" customHeight="1">
      <c r="A368" s="60"/>
      <c r="B368" s="77" t="s">
        <v>464</v>
      </c>
      <c r="C368" s="15" t="s">
        <v>779</v>
      </c>
      <c r="D368" s="141"/>
      <c r="E368" s="15" t="s">
        <v>780</v>
      </c>
      <c r="F368" s="141" t="str">
        <f>IF(wskakunin_sekkei6_JIMU_NAME="", "", wskakunin_sekkei6_JIMU_NAME)</f>
        <v/>
      </c>
      <c r="H368" s="18"/>
    </row>
    <row r="369" spans="1:8" ht="15" customHeight="1">
      <c r="A369" s="47"/>
      <c r="B369" s="77" t="s">
        <v>628</v>
      </c>
      <c r="D369" s="37"/>
      <c r="E369" s="15" t="s">
        <v>781</v>
      </c>
      <c r="F369" s="141" t="str">
        <f>wskakunin_sekkei6_JIMU_NAME&amp;" "&amp;wskakunin_sekkei6_NAME</f>
        <v xml:space="preserve"> </v>
      </c>
      <c r="H369" s="18"/>
    </row>
    <row r="370" spans="1:8" ht="15" customHeight="1">
      <c r="A370" s="60"/>
      <c r="B370" s="77" t="s">
        <v>257</v>
      </c>
      <c r="C370" s="15" t="s">
        <v>782</v>
      </c>
      <c r="D370" s="220"/>
      <c r="E370" s="15" t="s">
        <v>783</v>
      </c>
      <c r="F370" s="141" t="str">
        <f>IF(wskakunin_sekkei6_ZIP="", "", wskakunin_sekkei6_ZIP)</f>
        <v/>
      </c>
      <c r="H370" s="18" t="s">
        <v>632</v>
      </c>
    </row>
    <row r="371" spans="1:8" ht="15" customHeight="1">
      <c r="A371" s="60"/>
      <c r="B371" s="77" t="s">
        <v>469</v>
      </c>
      <c r="C371" s="15" t="s">
        <v>784</v>
      </c>
      <c r="D371" s="141"/>
      <c r="E371" s="15" t="s">
        <v>785</v>
      </c>
      <c r="F371" s="141" t="str">
        <f>IF(wskakunin_sekkei6__address="", "", wskakunin_sekkei6__address)</f>
        <v/>
      </c>
      <c r="H371" s="18"/>
    </row>
    <row r="372" spans="1:8" ht="15" customHeight="1">
      <c r="A372" s="60"/>
      <c r="B372" s="77" t="s">
        <v>264</v>
      </c>
      <c r="C372" s="15" t="s">
        <v>786</v>
      </c>
      <c r="D372" s="220"/>
      <c r="E372" s="15" t="s">
        <v>787</v>
      </c>
      <c r="F372" s="141" t="str">
        <f>IF(wskakunin_sekkei6_TEL="", "", wskakunin_sekkei6_TEL)</f>
        <v/>
      </c>
      <c r="H372" s="18"/>
    </row>
    <row r="373" spans="1:8" ht="15" customHeight="1">
      <c r="A373" s="60"/>
      <c r="B373" s="77" t="s">
        <v>637</v>
      </c>
      <c r="C373" s="15" t="s">
        <v>788</v>
      </c>
      <c r="D373" s="220"/>
      <c r="E373" s="15" t="s">
        <v>789</v>
      </c>
      <c r="F373" s="141" t="str">
        <f>IF(wskakunin_sekkei6_DOC="","",wskakunin_sekkei6_DOC)</f>
        <v/>
      </c>
      <c r="H373" s="18"/>
    </row>
    <row r="374" spans="1:8" ht="15" customHeight="1">
      <c r="A374" s="60"/>
      <c r="B374" s="85"/>
      <c r="H374" s="18"/>
    </row>
    <row r="375" spans="1:8" ht="15" customHeight="1">
      <c r="A375" s="1" t="s">
        <v>790</v>
      </c>
      <c r="B375" s="726"/>
      <c r="H375" s="18"/>
    </row>
    <row r="376" spans="1:8" ht="15" customHeight="1">
      <c r="A376" s="28"/>
      <c r="B376" s="77" t="s">
        <v>435</v>
      </c>
      <c r="C376" s="15" t="s">
        <v>791</v>
      </c>
      <c r="D376" s="141"/>
      <c r="E376" s="15" t="s">
        <v>792</v>
      </c>
      <c r="F376" s="141" t="str">
        <f>IF(wskakunin_sekkei7__sikaku="", "", wskakunin_sekkei7__sikaku)</f>
        <v/>
      </c>
      <c r="H376" s="18"/>
    </row>
    <row r="377" spans="1:8" ht="15" customHeight="1">
      <c r="A377" s="35"/>
      <c r="B377" s="77" t="s">
        <v>438</v>
      </c>
      <c r="C377" s="15" t="s">
        <v>793</v>
      </c>
      <c r="D377" s="141"/>
      <c r="E377" s="15" t="s">
        <v>794</v>
      </c>
      <c r="F377" s="141" t="str">
        <f>IF(wskakunin_sekkei7_SIKAKU__label="","",wskakunin_sekkei7_SIKAKU__label)</f>
        <v/>
      </c>
      <c r="H377" s="18"/>
    </row>
    <row r="378" spans="1:8" ht="15" customHeight="1">
      <c r="A378" s="35"/>
      <c r="B378" s="77" t="s">
        <v>441</v>
      </c>
      <c r="C378" s="15" t="s">
        <v>795</v>
      </c>
      <c r="D378" s="141"/>
      <c r="E378" s="15" t="s">
        <v>796</v>
      </c>
      <c r="F378" s="141" t="str">
        <f>IF(wskakunin_sekkei7_TOUROKU_KIKAN__label="","",wskakunin_sekkei7_TOUROKU_KIKAN__label)</f>
        <v/>
      </c>
      <c r="H378" s="18"/>
    </row>
    <row r="379" spans="1:8" ht="15" customHeight="1">
      <c r="A379" s="35"/>
      <c r="B379" s="77" t="s">
        <v>444</v>
      </c>
      <c r="C379" s="15" t="s">
        <v>797</v>
      </c>
      <c r="D379" s="220"/>
      <c r="E379" s="15" t="s">
        <v>798</v>
      </c>
      <c r="F379" s="141" t="str">
        <f>IF(wskakunin_sekkei7_KENTIKUSI_NO="","",wskakunin_sekkei7_KENTIKUSI_NO)</f>
        <v/>
      </c>
      <c r="H379" s="18"/>
    </row>
    <row r="380" spans="1:8" ht="15" customHeight="1">
      <c r="A380" s="47"/>
      <c r="B380" s="77" t="s">
        <v>247</v>
      </c>
      <c r="C380" s="15" t="s">
        <v>799</v>
      </c>
      <c r="D380" s="141"/>
      <c r="E380" s="15" t="s">
        <v>800</v>
      </c>
      <c r="F380" s="141" t="str">
        <f>IF(wskakunin_sekkei7_NAME="", "", wskakunin_sekkei7_NAME)</f>
        <v/>
      </c>
      <c r="H380" s="18"/>
    </row>
    <row r="381" spans="1:8" ht="15" customHeight="1">
      <c r="A381" s="47"/>
      <c r="B381" s="77" t="s">
        <v>452</v>
      </c>
      <c r="C381" s="15" t="s">
        <v>801</v>
      </c>
      <c r="D381" s="141"/>
      <c r="E381" s="15" t="s">
        <v>802</v>
      </c>
      <c r="F381" s="141" t="str">
        <f>IF(wskakunin_sekkei7_JIMU__sikaku="", "", wskakunin_sekkei7_JIMU__sikaku)</f>
        <v/>
      </c>
      <c r="H381" s="18"/>
    </row>
    <row r="382" spans="1:8" ht="15" customHeight="1">
      <c r="A382" s="47"/>
      <c r="B382" s="77" t="s">
        <v>455</v>
      </c>
      <c r="C382" s="15" t="s">
        <v>803</v>
      </c>
      <c r="D382" s="141"/>
      <c r="E382" s="15" t="s">
        <v>804</v>
      </c>
      <c r="F382" s="141" t="str">
        <f>IF(wskakunin_sekkei7_JIMU_SIKAKU__label="","",wskakunin_sekkei7_JIMU_SIKAKU__label)</f>
        <v/>
      </c>
      <c r="H382" s="18"/>
    </row>
    <row r="383" spans="1:8" ht="15" customHeight="1">
      <c r="A383" s="47"/>
      <c r="B383" s="77" t="s">
        <v>458</v>
      </c>
      <c r="C383" s="15" t="s">
        <v>805</v>
      </c>
      <c r="D383" s="141"/>
      <c r="E383" s="15" t="s">
        <v>806</v>
      </c>
      <c r="F383" s="141" t="str">
        <f>IF(wskakunin_sekkei7_JIMU_TOUROKU_KIKAN__label="","",wskakunin_sekkei7_JIMU_TOUROKU_KIKAN__label)</f>
        <v/>
      </c>
      <c r="H383" s="18"/>
    </row>
    <row r="384" spans="1:8" ht="15" customHeight="1">
      <c r="A384" s="47"/>
      <c r="B384" s="77" t="s">
        <v>461</v>
      </c>
      <c r="C384" s="15" t="s">
        <v>807</v>
      </c>
      <c r="D384" s="220"/>
      <c r="E384" s="15" t="s">
        <v>808</v>
      </c>
      <c r="F384" s="141" t="str">
        <f>IF(wskakunin_sekkei7_JIMU_NO="","",wskakunin_sekkei7_JIMU_NO)</f>
        <v/>
      </c>
      <c r="H384" s="18"/>
    </row>
    <row r="385" spans="1:8" ht="15" customHeight="1">
      <c r="A385" s="60"/>
      <c r="B385" s="77" t="s">
        <v>464</v>
      </c>
      <c r="C385" s="15" t="s">
        <v>809</v>
      </c>
      <c r="D385" s="141"/>
      <c r="E385" s="15" t="s">
        <v>810</v>
      </c>
      <c r="F385" s="141" t="str">
        <f>IF(wskakunin_sekkei7_JIMU_NAME="", "", wskakunin_sekkei7_JIMU_NAME)</f>
        <v/>
      </c>
      <c r="H385" s="18"/>
    </row>
    <row r="386" spans="1:8" ht="15" customHeight="1">
      <c r="A386" s="47"/>
      <c r="B386" s="77" t="s">
        <v>628</v>
      </c>
      <c r="D386" s="37"/>
      <c r="E386" s="15" t="s">
        <v>811</v>
      </c>
      <c r="F386" s="141" t="str">
        <f>wskakunin_sekkei7_JIMU_NAME&amp;" "&amp;wskakunin_sekkei7_NAME</f>
        <v xml:space="preserve"> </v>
      </c>
      <c r="H386" s="18"/>
    </row>
    <row r="387" spans="1:8" ht="15" customHeight="1">
      <c r="A387" s="60"/>
      <c r="B387" s="77" t="s">
        <v>257</v>
      </c>
      <c r="C387" s="15" t="s">
        <v>812</v>
      </c>
      <c r="D387" s="220"/>
      <c r="E387" s="15" t="s">
        <v>813</v>
      </c>
      <c r="F387" s="141" t="str">
        <f>IF(wskakunin_sekkei7_ZIP="", "", wskakunin_sekkei7_ZIP)</f>
        <v/>
      </c>
      <c r="H387" s="18" t="s">
        <v>632</v>
      </c>
    </row>
    <row r="388" spans="1:8" ht="15" customHeight="1">
      <c r="A388" s="60"/>
      <c r="B388" s="77" t="s">
        <v>469</v>
      </c>
      <c r="C388" s="15" t="s">
        <v>814</v>
      </c>
      <c r="D388" s="141"/>
      <c r="E388" s="15" t="s">
        <v>815</v>
      </c>
      <c r="F388" s="141" t="str">
        <f>IF(wskakunin_sekkei7__address="", "", wskakunin_sekkei7__address)</f>
        <v/>
      </c>
      <c r="H388" s="18"/>
    </row>
    <row r="389" spans="1:8" ht="15" customHeight="1">
      <c r="A389" s="60"/>
      <c r="B389" s="77" t="s">
        <v>264</v>
      </c>
      <c r="C389" s="15" t="s">
        <v>816</v>
      </c>
      <c r="D389" s="220"/>
      <c r="E389" s="15" t="s">
        <v>817</v>
      </c>
      <c r="F389" s="141" t="str">
        <f>IF(wskakunin_sekkei7_TEL="", "", wskakunin_sekkei7_TEL)</f>
        <v/>
      </c>
      <c r="H389" s="18"/>
    </row>
    <row r="390" spans="1:8" ht="15" customHeight="1">
      <c r="A390" s="60"/>
      <c r="B390" s="77" t="s">
        <v>637</v>
      </c>
      <c r="C390" s="15" t="s">
        <v>818</v>
      </c>
      <c r="D390" s="220"/>
      <c r="E390" s="15" t="s">
        <v>819</v>
      </c>
      <c r="F390" s="141" t="str">
        <f>IF(wskakunin_sekkei7_DOC="","",wskakunin_sekkei7_DOC)</f>
        <v/>
      </c>
      <c r="H390" s="18"/>
    </row>
    <row r="391" spans="1:8" ht="15" customHeight="1">
      <c r="A391" s="60"/>
      <c r="B391" s="85"/>
      <c r="H391" s="18"/>
    </row>
    <row r="392" spans="1:8" ht="15" customHeight="1">
      <c r="A392" s="1" t="s">
        <v>820</v>
      </c>
      <c r="B392" s="726"/>
      <c r="H392" s="18"/>
    </row>
    <row r="393" spans="1:8" ht="15" customHeight="1">
      <c r="A393" s="28"/>
      <c r="B393" s="77" t="s">
        <v>435</v>
      </c>
      <c r="C393" s="15" t="s">
        <v>821</v>
      </c>
      <c r="D393" s="141"/>
      <c r="E393" s="15" t="s">
        <v>822</v>
      </c>
      <c r="F393" s="141" t="str">
        <f>IF(wskakunin_sekkei8__sikaku="", "", wskakunin_sekkei8__sikaku)</f>
        <v/>
      </c>
      <c r="H393" s="18"/>
    </row>
    <row r="394" spans="1:8" ht="15" customHeight="1">
      <c r="A394" s="35"/>
      <c r="B394" s="77" t="s">
        <v>438</v>
      </c>
      <c r="C394" s="15" t="s">
        <v>823</v>
      </c>
      <c r="D394" s="141"/>
      <c r="E394" s="15" t="s">
        <v>824</v>
      </c>
      <c r="F394" s="141" t="str">
        <f>IF(wskakunin_sekkei8_SIKAKU__label="","",wskakunin_sekkei8_SIKAKU__label)</f>
        <v/>
      </c>
      <c r="H394" s="18"/>
    </row>
    <row r="395" spans="1:8" ht="15" customHeight="1">
      <c r="A395" s="35"/>
      <c r="B395" s="77" t="s">
        <v>441</v>
      </c>
      <c r="C395" s="15" t="s">
        <v>825</v>
      </c>
      <c r="D395" s="141"/>
      <c r="E395" s="15" t="s">
        <v>826</v>
      </c>
      <c r="F395" s="141" t="str">
        <f>IF(wskakunin_sekkei8_TOUROKU_KIKAN__label="","",wskakunin_sekkei8_TOUROKU_KIKAN__label)</f>
        <v/>
      </c>
      <c r="H395" s="18"/>
    </row>
    <row r="396" spans="1:8" ht="15" customHeight="1">
      <c r="A396" s="35"/>
      <c r="B396" s="77" t="s">
        <v>444</v>
      </c>
      <c r="C396" s="15" t="s">
        <v>827</v>
      </c>
      <c r="D396" s="220"/>
      <c r="E396" s="15" t="s">
        <v>828</v>
      </c>
      <c r="F396" s="141" t="str">
        <f>IF(wskakunin_sekkei8_KENTIKUSI_NO="","",wskakunin_sekkei8_KENTIKUSI_NO)</f>
        <v/>
      </c>
      <c r="H396" s="18"/>
    </row>
    <row r="397" spans="1:8" ht="15" customHeight="1">
      <c r="A397" s="47"/>
      <c r="B397" s="77" t="s">
        <v>247</v>
      </c>
      <c r="C397" s="15" t="s">
        <v>829</v>
      </c>
      <c r="D397" s="141"/>
      <c r="E397" s="15" t="s">
        <v>830</v>
      </c>
      <c r="F397" s="141" t="str">
        <f>IF(wskakunin_sekkei8_NAME="", "", wskakunin_sekkei8_NAME)</f>
        <v/>
      </c>
      <c r="H397" s="18"/>
    </row>
    <row r="398" spans="1:8" ht="15" customHeight="1">
      <c r="A398" s="47"/>
      <c r="B398" s="77" t="s">
        <v>452</v>
      </c>
      <c r="C398" s="15" t="s">
        <v>831</v>
      </c>
      <c r="D398" s="141"/>
      <c r="E398" s="15" t="s">
        <v>832</v>
      </c>
      <c r="F398" s="141" t="str">
        <f>IF(wskakunin_sekkei8_JIMU__sikaku="", "", wskakunin_sekkei8_JIMU__sikaku)</f>
        <v/>
      </c>
      <c r="H398" s="18"/>
    </row>
    <row r="399" spans="1:8" ht="15" customHeight="1">
      <c r="A399" s="47"/>
      <c r="B399" s="77" t="s">
        <v>455</v>
      </c>
      <c r="C399" s="15" t="s">
        <v>833</v>
      </c>
      <c r="D399" s="141"/>
      <c r="E399" s="15" t="s">
        <v>834</v>
      </c>
      <c r="F399" s="141" t="str">
        <f>IF(wskakunin_sekkei8_JIMU_SIKAKU__label="","",wskakunin_sekkei8_JIMU_SIKAKU__label)</f>
        <v/>
      </c>
      <c r="H399" s="18"/>
    </row>
    <row r="400" spans="1:8" ht="15" customHeight="1">
      <c r="A400" s="47"/>
      <c r="B400" s="77" t="s">
        <v>458</v>
      </c>
      <c r="C400" s="15" t="s">
        <v>835</v>
      </c>
      <c r="D400" s="141"/>
      <c r="E400" s="15" t="s">
        <v>836</v>
      </c>
      <c r="F400" s="141" t="str">
        <f>IF(wskakunin_sekkei8_JIMU_TOUROKU_KIKAN__label="","",wskakunin_sekkei8_JIMU_TOUROKU_KIKAN__label)</f>
        <v/>
      </c>
      <c r="H400" s="18"/>
    </row>
    <row r="401" spans="1:8" ht="15" customHeight="1">
      <c r="A401" s="47"/>
      <c r="B401" s="77" t="s">
        <v>461</v>
      </c>
      <c r="C401" s="15" t="s">
        <v>837</v>
      </c>
      <c r="D401" s="220"/>
      <c r="E401" s="15" t="s">
        <v>838</v>
      </c>
      <c r="F401" s="141" t="str">
        <f>IF(wskakunin_sekkei8_JIMU_NO="","",wskakunin_sekkei8_JIMU_NO)</f>
        <v/>
      </c>
      <c r="H401" s="18"/>
    </row>
    <row r="402" spans="1:8" ht="15" customHeight="1">
      <c r="A402" s="60"/>
      <c r="B402" s="77" t="s">
        <v>464</v>
      </c>
      <c r="C402" s="15" t="s">
        <v>839</v>
      </c>
      <c r="D402" s="141"/>
      <c r="E402" s="15" t="s">
        <v>840</v>
      </c>
      <c r="F402" s="141" t="str">
        <f>IF(wskakunin_sekkei8_JIMU_NAME="", "", wskakunin_sekkei8_JIMU_NAME)</f>
        <v/>
      </c>
      <c r="H402" s="18"/>
    </row>
    <row r="403" spans="1:8" ht="15" customHeight="1">
      <c r="A403" s="47"/>
      <c r="B403" s="77" t="s">
        <v>628</v>
      </c>
      <c r="D403" s="37"/>
      <c r="E403" s="15" t="s">
        <v>841</v>
      </c>
      <c r="F403" s="141" t="str">
        <f>wskakunin_sekkei8_JIMU_NAME&amp;" "&amp;wskakunin_sekkei8_NAME</f>
        <v xml:space="preserve"> </v>
      </c>
      <c r="H403" s="18"/>
    </row>
    <row r="404" spans="1:8" ht="15" customHeight="1">
      <c r="A404" s="60"/>
      <c r="B404" s="77" t="s">
        <v>257</v>
      </c>
      <c r="C404" s="15" t="s">
        <v>842</v>
      </c>
      <c r="D404" s="220"/>
      <c r="E404" s="15" t="s">
        <v>843</v>
      </c>
      <c r="F404" s="141" t="str">
        <f>IF(wskakunin_sekkei8_ZIP="", "", wskakunin_sekkei8_ZIP)</f>
        <v/>
      </c>
      <c r="H404" s="18" t="s">
        <v>632</v>
      </c>
    </row>
    <row r="405" spans="1:8" ht="15" customHeight="1">
      <c r="A405" s="60"/>
      <c r="B405" s="77" t="s">
        <v>469</v>
      </c>
      <c r="C405" s="15" t="s">
        <v>844</v>
      </c>
      <c r="D405" s="141"/>
      <c r="E405" s="15" t="s">
        <v>845</v>
      </c>
      <c r="F405" s="141" t="str">
        <f>IF(wskakunin_sekkei8__address="", "", wskakunin_sekkei8__address)</f>
        <v/>
      </c>
      <c r="H405" s="18"/>
    </row>
    <row r="406" spans="1:8" ht="15" customHeight="1">
      <c r="A406" s="60"/>
      <c r="B406" s="77" t="s">
        <v>264</v>
      </c>
      <c r="C406" s="15" t="s">
        <v>846</v>
      </c>
      <c r="D406" s="220"/>
      <c r="E406" s="15" t="s">
        <v>847</v>
      </c>
      <c r="F406" s="141" t="str">
        <f>IF(wskakunin_sekkei8_TEL="", "", wskakunin_sekkei8_TEL)</f>
        <v/>
      </c>
      <c r="H406" s="18"/>
    </row>
    <row r="407" spans="1:8" ht="15" customHeight="1">
      <c r="A407" s="60"/>
      <c r="B407" s="77" t="s">
        <v>637</v>
      </c>
      <c r="C407" s="15" t="s">
        <v>848</v>
      </c>
      <c r="D407" s="220"/>
      <c r="E407" s="15" t="s">
        <v>849</v>
      </c>
      <c r="F407" s="141" t="str">
        <f>IF(wskakunin_sekkei8_DOC="","",wskakunin_sekkei8_DOC)</f>
        <v/>
      </c>
      <c r="H407" s="18"/>
    </row>
    <row r="408" spans="1:8" ht="15" customHeight="1">
      <c r="A408" s="60"/>
      <c r="B408" s="85"/>
      <c r="H408" s="18"/>
    </row>
    <row r="409" spans="1:8" ht="15" customHeight="1">
      <c r="A409" s="1" t="s">
        <v>850</v>
      </c>
      <c r="B409" s="726"/>
      <c r="H409" s="18"/>
    </row>
    <row r="410" spans="1:8" ht="15" customHeight="1">
      <c r="A410" s="28"/>
      <c r="B410" s="77" t="s">
        <v>435</v>
      </c>
      <c r="C410" s="15" t="s">
        <v>851</v>
      </c>
      <c r="D410" s="141"/>
      <c r="E410" s="15" t="s">
        <v>852</v>
      </c>
      <c r="F410" s="141" t="str">
        <f>IF(wskakunin_sekkei9__sikaku="", "", wskakunin_sekkei9__sikaku)</f>
        <v/>
      </c>
      <c r="H410" s="18"/>
    </row>
    <row r="411" spans="1:8" ht="15" customHeight="1">
      <c r="A411" s="35"/>
      <c r="B411" s="77" t="s">
        <v>438</v>
      </c>
      <c r="C411" s="15" t="s">
        <v>853</v>
      </c>
      <c r="D411" s="141"/>
      <c r="E411" s="15" t="s">
        <v>854</v>
      </c>
      <c r="F411" s="141" t="str">
        <f>IF(wskakunin_sekkei9_SIKAKU__label="","",wskakunin_sekkei9_SIKAKU__label)</f>
        <v/>
      </c>
      <c r="H411" s="18"/>
    </row>
    <row r="412" spans="1:8" ht="15" customHeight="1">
      <c r="A412" s="35"/>
      <c r="B412" s="77" t="s">
        <v>441</v>
      </c>
      <c r="C412" s="15" t="s">
        <v>855</v>
      </c>
      <c r="D412" s="141"/>
      <c r="E412" s="15" t="s">
        <v>856</v>
      </c>
      <c r="F412" s="141" t="str">
        <f>IF(wskakunin_sekkei9_TOUROKU_KIKAN__label="","",wskakunin_sekkei9_TOUROKU_KIKAN__label)</f>
        <v/>
      </c>
      <c r="H412" s="18"/>
    </row>
    <row r="413" spans="1:8" ht="15" customHeight="1">
      <c r="A413" s="35"/>
      <c r="B413" s="77" t="s">
        <v>444</v>
      </c>
      <c r="C413" s="15" t="s">
        <v>857</v>
      </c>
      <c r="D413" s="220"/>
      <c r="E413" s="15" t="s">
        <v>858</v>
      </c>
      <c r="F413" s="141" t="str">
        <f>IF(wskakunin_sekkei9_KENTIKUSI_NO="","",wskakunin_sekkei9_KENTIKUSI_NO)</f>
        <v/>
      </c>
      <c r="H413" s="18"/>
    </row>
    <row r="414" spans="1:8" ht="15" customHeight="1">
      <c r="A414" s="47"/>
      <c r="B414" s="77" t="s">
        <v>247</v>
      </c>
      <c r="C414" s="15" t="s">
        <v>859</v>
      </c>
      <c r="D414" s="141"/>
      <c r="E414" s="15" t="s">
        <v>860</v>
      </c>
      <c r="F414" s="141" t="str">
        <f>IF(wskakunin_sekkei9_NAME="", "", wskakunin_sekkei9_NAME)</f>
        <v/>
      </c>
      <c r="H414" s="18"/>
    </row>
    <row r="415" spans="1:8" ht="15" customHeight="1">
      <c r="A415" s="47"/>
      <c r="B415" s="77" t="s">
        <v>452</v>
      </c>
      <c r="C415" s="15" t="s">
        <v>861</v>
      </c>
      <c r="D415" s="141"/>
      <c r="E415" s="15" t="s">
        <v>862</v>
      </c>
      <c r="F415" s="141" t="str">
        <f>IF(wskakunin_sekkei9_JIMU__sikaku="", "", wskakunin_sekkei9_JIMU__sikaku)</f>
        <v/>
      </c>
      <c r="H415" s="18"/>
    </row>
    <row r="416" spans="1:8" ht="15" customHeight="1">
      <c r="A416" s="47"/>
      <c r="B416" s="77" t="s">
        <v>455</v>
      </c>
      <c r="C416" s="15" t="s">
        <v>863</v>
      </c>
      <c r="D416" s="141"/>
      <c r="E416" s="15" t="s">
        <v>864</v>
      </c>
      <c r="F416" s="141" t="str">
        <f>IF(wskakunin_sekkei9_JIMU_SIKAKU__label="","",wskakunin_sekkei9_JIMU_SIKAKU__label)</f>
        <v/>
      </c>
      <c r="H416" s="18"/>
    </row>
    <row r="417" spans="1:8" ht="15" customHeight="1">
      <c r="A417" s="47"/>
      <c r="B417" s="77" t="s">
        <v>458</v>
      </c>
      <c r="C417" s="15" t="s">
        <v>865</v>
      </c>
      <c r="D417" s="141"/>
      <c r="E417" s="15" t="s">
        <v>866</v>
      </c>
      <c r="F417" s="141" t="str">
        <f>IF(wskakunin_sekkei9_JIMU_TOUROKU_KIKAN__label="","",wskakunin_sekkei9_JIMU_TOUROKU_KIKAN__label)</f>
        <v/>
      </c>
      <c r="H417" s="18"/>
    </row>
    <row r="418" spans="1:8" ht="15" customHeight="1">
      <c r="A418" s="47"/>
      <c r="B418" s="77" t="s">
        <v>461</v>
      </c>
      <c r="C418" s="15" t="s">
        <v>867</v>
      </c>
      <c r="D418" s="220"/>
      <c r="E418" s="15" t="s">
        <v>868</v>
      </c>
      <c r="F418" s="141" t="str">
        <f>IF(wskakunin_sekkei9_JIMU_NO="","",wskakunin_sekkei9_JIMU_NO)</f>
        <v/>
      </c>
      <c r="H418" s="18"/>
    </row>
    <row r="419" spans="1:8" ht="15" customHeight="1">
      <c r="A419" s="60"/>
      <c r="B419" s="77" t="s">
        <v>464</v>
      </c>
      <c r="C419" s="15" t="s">
        <v>869</v>
      </c>
      <c r="D419" s="141"/>
      <c r="E419" s="15" t="s">
        <v>870</v>
      </c>
      <c r="F419" s="141" t="str">
        <f>IF(wskakunin_sekkei9_JIMU_NAME="", "", wskakunin_sekkei9_JIMU_NAME)</f>
        <v/>
      </c>
      <c r="H419" s="18"/>
    </row>
    <row r="420" spans="1:8" ht="15" customHeight="1">
      <c r="A420" s="47"/>
      <c r="B420" s="77" t="s">
        <v>628</v>
      </c>
      <c r="D420" s="37"/>
      <c r="E420" s="15" t="s">
        <v>871</v>
      </c>
      <c r="F420" s="141" t="str">
        <f>wskakunin_sekkei9_JIMU_NAME&amp;" "&amp;wskakunin_sekkei9_NAME</f>
        <v xml:space="preserve"> </v>
      </c>
      <c r="H420" s="18"/>
    </row>
    <row r="421" spans="1:8" ht="15" customHeight="1">
      <c r="A421" s="60"/>
      <c r="B421" s="77" t="s">
        <v>257</v>
      </c>
      <c r="C421" s="15" t="s">
        <v>872</v>
      </c>
      <c r="D421" s="220"/>
      <c r="E421" s="15" t="s">
        <v>873</v>
      </c>
      <c r="F421" s="141" t="str">
        <f>IF(wskakunin_sekkei9_ZIP="", "", wskakunin_sekkei9_ZIP)</f>
        <v/>
      </c>
      <c r="H421" s="18" t="s">
        <v>632</v>
      </c>
    </row>
    <row r="422" spans="1:8" ht="15" customHeight="1">
      <c r="A422" s="60"/>
      <c r="B422" s="77" t="s">
        <v>469</v>
      </c>
      <c r="C422" s="15" t="s">
        <v>874</v>
      </c>
      <c r="D422" s="141"/>
      <c r="E422" s="15" t="s">
        <v>875</v>
      </c>
      <c r="F422" s="141" t="str">
        <f>IF(wskakunin_sekkei9__address="", "", wskakunin_sekkei9__address)</f>
        <v/>
      </c>
      <c r="H422" s="18"/>
    </row>
    <row r="423" spans="1:8" ht="15" customHeight="1">
      <c r="A423" s="60"/>
      <c r="B423" s="77" t="s">
        <v>264</v>
      </c>
      <c r="C423" s="15" t="s">
        <v>876</v>
      </c>
      <c r="D423" s="220"/>
      <c r="E423" s="15" t="s">
        <v>877</v>
      </c>
      <c r="F423" s="141" t="str">
        <f>IF(wskakunin_sekkei9_TEL="", "", wskakunin_sekkei9_TEL)</f>
        <v/>
      </c>
      <c r="H423" s="18"/>
    </row>
    <row r="424" spans="1:8" ht="15" customHeight="1">
      <c r="A424" s="60"/>
      <c r="B424" s="77" t="s">
        <v>637</v>
      </c>
      <c r="C424" s="15" t="s">
        <v>878</v>
      </c>
      <c r="D424" s="220"/>
      <c r="E424" s="15" t="s">
        <v>879</v>
      </c>
      <c r="F424" s="141" t="str">
        <f>IF(wskakunin_sekkei9_DOC="","",wskakunin_sekkei9_DOC)</f>
        <v/>
      </c>
      <c r="H424" s="18"/>
    </row>
    <row r="425" spans="1:8" ht="15" customHeight="1">
      <c r="A425" s="60"/>
      <c r="B425" s="85"/>
      <c r="H425" s="18"/>
    </row>
    <row r="426" spans="1:8" ht="15" customHeight="1">
      <c r="A426" s="1" t="s">
        <v>880</v>
      </c>
      <c r="B426" s="726"/>
      <c r="H426" s="18"/>
    </row>
    <row r="427" spans="1:8" ht="15" customHeight="1">
      <c r="A427" s="28"/>
      <c r="B427" s="77" t="s">
        <v>435</v>
      </c>
      <c r="C427" s="15" t="s">
        <v>881</v>
      </c>
      <c r="D427" s="141"/>
      <c r="E427" s="15" t="s">
        <v>882</v>
      </c>
      <c r="F427" s="141" t="str">
        <f>IF(wskakunin_sekkei10__sikaku="", "", wskakunin_sekkei10__sikaku)</f>
        <v/>
      </c>
      <c r="H427" s="18"/>
    </row>
    <row r="428" spans="1:8" ht="15" customHeight="1">
      <c r="A428" s="35"/>
      <c r="B428" s="77" t="s">
        <v>438</v>
      </c>
      <c r="C428" s="15" t="s">
        <v>883</v>
      </c>
      <c r="D428" s="141"/>
      <c r="E428" s="15" t="s">
        <v>884</v>
      </c>
      <c r="F428" s="141" t="str">
        <f>IF(wskakunin_sekkei10_SIKAKU__label="","",wskakunin_sekkei10_SIKAKU__label)</f>
        <v/>
      </c>
      <c r="H428" s="18"/>
    </row>
    <row r="429" spans="1:8" ht="15" customHeight="1">
      <c r="A429" s="35"/>
      <c r="B429" s="77" t="s">
        <v>441</v>
      </c>
      <c r="C429" s="15" t="s">
        <v>885</v>
      </c>
      <c r="D429" s="141"/>
      <c r="E429" s="15" t="s">
        <v>886</v>
      </c>
      <c r="F429" s="141" t="str">
        <f>IF(wskakunin_sekkei10_TOUROKU_KIKAN__label="","",wskakunin_sekkei10_TOUROKU_KIKAN__label)</f>
        <v/>
      </c>
      <c r="H429" s="18"/>
    </row>
    <row r="430" spans="1:8" ht="15" customHeight="1">
      <c r="A430" s="35"/>
      <c r="B430" s="77" t="s">
        <v>444</v>
      </c>
      <c r="C430" s="15" t="s">
        <v>887</v>
      </c>
      <c r="D430" s="220"/>
      <c r="E430" s="15" t="s">
        <v>888</v>
      </c>
      <c r="F430" s="141" t="str">
        <f>IF(wskakunin_sekkei10_KENTIKUSI_NO="","",wskakunin_sekkei10_KENTIKUSI_NO)</f>
        <v/>
      </c>
      <c r="H430" s="18"/>
    </row>
    <row r="431" spans="1:8" ht="15" customHeight="1">
      <c r="A431" s="47"/>
      <c r="B431" s="77" t="s">
        <v>247</v>
      </c>
      <c r="C431" s="15" t="s">
        <v>889</v>
      </c>
      <c r="D431" s="141"/>
      <c r="E431" s="15" t="s">
        <v>890</v>
      </c>
      <c r="F431" s="141" t="str">
        <f>IF(wskakunin_sekkei10_NAME="", "", wskakunin_sekkei10_NAME)</f>
        <v/>
      </c>
      <c r="H431" s="18"/>
    </row>
    <row r="432" spans="1:8" ht="15" customHeight="1">
      <c r="A432" s="47"/>
      <c r="B432" s="77" t="s">
        <v>452</v>
      </c>
      <c r="C432" s="15" t="s">
        <v>891</v>
      </c>
      <c r="D432" s="141"/>
      <c r="E432" s="15" t="s">
        <v>892</v>
      </c>
      <c r="F432" s="141" t="str">
        <f>IF(wskakunin_sekkei10_JIMU__sikaku="", "", wskakunin_sekkei10_JIMU__sikaku)</f>
        <v/>
      </c>
      <c r="H432" s="18"/>
    </row>
    <row r="433" spans="1:8" ht="15" customHeight="1">
      <c r="A433" s="47"/>
      <c r="B433" s="77" t="s">
        <v>455</v>
      </c>
      <c r="C433" s="15" t="s">
        <v>893</v>
      </c>
      <c r="D433" s="141"/>
      <c r="E433" s="15" t="s">
        <v>894</v>
      </c>
      <c r="F433" s="141" t="str">
        <f>IF(wskakunin_sekkei10_JIMU_SIKAKU__label="","",wskakunin_sekkei10_JIMU_SIKAKU__label)</f>
        <v/>
      </c>
      <c r="H433" s="18"/>
    </row>
    <row r="434" spans="1:8" ht="15" customHeight="1">
      <c r="A434" s="47"/>
      <c r="B434" s="77" t="s">
        <v>458</v>
      </c>
      <c r="C434" s="15" t="s">
        <v>895</v>
      </c>
      <c r="D434" s="141"/>
      <c r="E434" s="15" t="s">
        <v>896</v>
      </c>
      <c r="F434" s="141" t="str">
        <f>IF(wskakunin_sekkei10_JIMU_TOUROKU_KIKAN__label="","",wskakunin_sekkei10_JIMU_TOUROKU_KIKAN__label)</f>
        <v/>
      </c>
      <c r="H434" s="18"/>
    </row>
    <row r="435" spans="1:8" ht="15" customHeight="1">
      <c r="A435" s="47"/>
      <c r="B435" s="77" t="s">
        <v>461</v>
      </c>
      <c r="C435" s="15" t="s">
        <v>897</v>
      </c>
      <c r="D435" s="220"/>
      <c r="E435" s="15" t="s">
        <v>898</v>
      </c>
      <c r="F435" s="141" t="str">
        <f>IF(wskakunin_sekkei10_JIMU_NO="","",wskakunin_sekkei10_JIMU_NO)</f>
        <v/>
      </c>
      <c r="H435" s="18"/>
    </row>
    <row r="436" spans="1:8" ht="15" customHeight="1">
      <c r="A436" s="60"/>
      <c r="B436" s="77" t="s">
        <v>464</v>
      </c>
      <c r="C436" s="15" t="s">
        <v>899</v>
      </c>
      <c r="D436" s="141"/>
      <c r="E436" s="15" t="s">
        <v>900</v>
      </c>
      <c r="F436" s="141" t="str">
        <f>IF(wskakunin_sekkei10_JIMU_NAME="", "", wskakunin_sekkei10_JIMU_NAME)</f>
        <v/>
      </c>
      <c r="H436" s="18"/>
    </row>
    <row r="437" spans="1:8" ht="15" customHeight="1">
      <c r="A437" s="47"/>
      <c r="B437" s="77" t="s">
        <v>628</v>
      </c>
      <c r="D437" s="37"/>
      <c r="E437" s="15" t="s">
        <v>901</v>
      </c>
      <c r="F437" s="141" t="str">
        <f>wskakunin_sekkei10_JIMU_NAME&amp;" "&amp;wskakunin_sekkei10_NAME</f>
        <v xml:space="preserve"> </v>
      </c>
      <c r="H437" s="18"/>
    </row>
    <row r="438" spans="1:8" ht="15" customHeight="1">
      <c r="A438" s="60"/>
      <c r="B438" s="77" t="s">
        <v>257</v>
      </c>
      <c r="C438" s="15" t="s">
        <v>902</v>
      </c>
      <c r="D438" s="220"/>
      <c r="E438" s="15" t="s">
        <v>903</v>
      </c>
      <c r="F438" s="141" t="str">
        <f>IF(wskakunin_sekkei10_ZIP="", "", wskakunin_sekkei10_ZIP)</f>
        <v/>
      </c>
      <c r="H438" s="18" t="s">
        <v>632</v>
      </c>
    </row>
    <row r="439" spans="1:8" ht="15" customHeight="1">
      <c r="A439" s="60"/>
      <c r="B439" s="77" t="s">
        <v>469</v>
      </c>
      <c r="C439" s="15" t="s">
        <v>904</v>
      </c>
      <c r="D439" s="141"/>
      <c r="E439" s="15" t="s">
        <v>905</v>
      </c>
      <c r="F439" s="141" t="str">
        <f>IF(wskakunin_sekkei10__address="", "", wskakunin_sekkei10__address)</f>
        <v/>
      </c>
      <c r="H439" s="18"/>
    </row>
    <row r="440" spans="1:8" ht="15" customHeight="1">
      <c r="A440" s="60"/>
      <c r="B440" s="77" t="s">
        <v>264</v>
      </c>
      <c r="C440" s="15" t="s">
        <v>906</v>
      </c>
      <c r="D440" s="220"/>
      <c r="E440" s="15" t="s">
        <v>907</v>
      </c>
      <c r="F440" s="141" t="str">
        <f>IF(wskakunin_sekkei10_TEL="", "", wskakunin_sekkei10_TEL)</f>
        <v/>
      </c>
      <c r="H440" s="18"/>
    </row>
    <row r="441" spans="1:8" ht="15" customHeight="1">
      <c r="A441" s="60"/>
      <c r="B441" s="77" t="s">
        <v>637</v>
      </c>
      <c r="C441" s="15" t="s">
        <v>908</v>
      </c>
      <c r="D441" s="220"/>
      <c r="E441" s="15" t="s">
        <v>909</v>
      </c>
      <c r="F441" s="141" t="str">
        <f>IF(wskakunin_sekkei10_DOC="","",wskakunin_sekkei10_DOC)</f>
        <v/>
      </c>
      <c r="H441" s="18"/>
    </row>
    <row r="442" spans="1:8" ht="15" customHeight="1">
      <c r="A442" s="60"/>
      <c r="B442" s="85"/>
      <c r="H442" s="18"/>
    </row>
    <row r="443" spans="1:8" ht="15" customHeight="1">
      <c r="A443" s="1" t="s">
        <v>910</v>
      </c>
      <c r="B443" s="726"/>
      <c r="H443" s="18"/>
    </row>
    <row r="444" spans="1:8" ht="15" customHeight="1">
      <c r="A444" s="28"/>
      <c r="B444" s="77" t="s">
        <v>435</v>
      </c>
      <c r="C444" s="15" t="s">
        <v>911</v>
      </c>
      <c r="D444" s="141"/>
      <c r="E444" s="15" t="s">
        <v>912</v>
      </c>
      <c r="F444" s="141" t="str">
        <f>IF(wskakunin_sekkei11__sikaku="", "", wskakunin_sekkei11__sikaku)</f>
        <v/>
      </c>
      <c r="H444" s="18"/>
    </row>
    <row r="445" spans="1:8" ht="15" customHeight="1">
      <c r="A445" s="35"/>
      <c r="B445" s="77" t="s">
        <v>438</v>
      </c>
      <c r="C445" s="15" t="s">
        <v>913</v>
      </c>
      <c r="D445" s="141"/>
      <c r="E445" s="15" t="s">
        <v>914</v>
      </c>
      <c r="F445" s="141" t="str">
        <f>IF(wskakunin_sekkei11_SIKAKU__label="","",wskakunin_sekkei11_SIKAKU__label)</f>
        <v/>
      </c>
      <c r="H445" s="18"/>
    </row>
    <row r="446" spans="1:8" ht="15" customHeight="1">
      <c r="A446" s="35"/>
      <c r="B446" s="77" t="s">
        <v>441</v>
      </c>
      <c r="C446" s="15" t="s">
        <v>915</v>
      </c>
      <c r="D446" s="141"/>
      <c r="E446" s="15" t="s">
        <v>916</v>
      </c>
      <c r="F446" s="141" t="str">
        <f>IF(wskakunin_sekkei11_TOUROKU_KIKAN__label="","",wskakunin_sekkei11_TOUROKU_KIKAN__label)</f>
        <v/>
      </c>
      <c r="H446" s="18"/>
    </row>
    <row r="447" spans="1:8" ht="15" customHeight="1">
      <c r="A447" s="35"/>
      <c r="B447" s="77" t="s">
        <v>444</v>
      </c>
      <c r="C447" s="15" t="s">
        <v>917</v>
      </c>
      <c r="D447" s="220"/>
      <c r="E447" s="15" t="s">
        <v>918</v>
      </c>
      <c r="F447" s="141" t="str">
        <f>IF(wskakunin_sekkei11_KENTIKUSI_NO="","",wskakunin_sekkei11_KENTIKUSI_NO)</f>
        <v/>
      </c>
      <c r="H447" s="18"/>
    </row>
    <row r="448" spans="1:8" ht="15" customHeight="1">
      <c r="A448" s="47"/>
      <c r="B448" s="77" t="s">
        <v>247</v>
      </c>
      <c r="C448" s="15" t="s">
        <v>919</v>
      </c>
      <c r="D448" s="141"/>
      <c r="E448" s="15" t="s">
        <v>920</v>
      </c>
      <c r="F448" s="141" t="str">
        <f>IF(wskakunin_sekkei11_NAME="", "", wskakunin_sekkei11_NAME)</f>
        <v/>
      </c>
      <c r="H448" s="18"/>
    </row>
    <row r="449" spans="1:8" ht="15" customHeight="1">
      <c r="A449" s="47"/>
      <c r="B449" s="77" t="s">
        <v>452</v>
      </c>
      <c r="C449" s="15" t="s">
        <v>921</v>
      </c>
      <c r="D449" s="141"/>
      <c r="E449" s="15" t="s">
        <v>922</v>
      </c>
      <c r="F449" s="141" t="str">
        <f>IF(wskakunin_sekkei11_JIMU__sikaku="", "", wskakunin_sekkei11_JIMU__sikaku)</f>
        <v/>
      </c>
      <c r="H449" s="18"/>
    </row>
    <row r="450" spans="1:8" ht="15" customHeight="1">
      <c r="A450" s="47"/>
      <c r="B450" s="77" t="s">
        <v>455</v>
      </c>
      <c r="C450" s="15" t="s">
        <v>923</v>
      </c>
      <c r="D450" s="141"/>
      <c r="E450" s="15" t="s">
        <v>924</v>
      </c>
      <c r="F450" s="141" t="str">
        <f>IF(wskakunin_sekkei11_JIMU_SIKAKU__label="","",wskakunin_sekkei11_JIMU_SIKAKU__label)</f>
        <v/>
      </c>
      <c r="H450" s="18"/>
    </row>
    <row r="451" spans="1:8" ht="15" customHeight="1">
      <c r="A451" s="47"/>
      <c r="B451" s="77" t="s">
        <v>458</v>
      </c>
      <c r="C451" s="15" t="s">
        <v>925</v>
      </c>
      <c r="D451" s="141"/>
      <c r="E451" s="15" t="s">
        <v>926</v>
      </c>
      <c r="F451" s="141" t="str">
        <f>IF(wskakunin_sekkei11_JIMU_TOUROKU_KIKAN__label="","",wskakunin_sekkei11_JIMU_TOUROKU_KIKAN__label)</f>
        <v/>
      </c>
      <c r="H451" s="18"/>
    </row>
    <row r="452" spans="1:8" ht="15" customHeight="1">
      <c r="A452" s="47"/>
      <c r="B452" s="77" t="s">
        <v>461</v>
      </c>
      <c r="C452" s="15" t="s">
        <v>927</v>
      </c>
      <c r="D452" s="220"/>
      <c r="E452" s="15" t="s">
        <v>928</v>
      </c>
      <c r="F452" s="141" t="str">
        <f>IF(wskakunin_sekkei11_JIMU_NO="","",wskakunin_sekkei11_JIMU_NO)</f>
        <v/>
      </c>
      <c r="H452" s="18"/>
    </row>
    <row r="453" spans="1:8" ht="15" customHeight="1">
      <c r="A453" s="60"/>
      <c r="B453" s="77" t="s">
        <v>464</v>
      </c>
      <c r="C453" s="15" t="s">
        <v>929</v>
      </c>
      <c r="D453" s="141"/>
      <c r="E453" s="15" t="s">
        <v>930</v>
      </c>
      <c r="F453" s="141" t="str">
        <f>IF(wskakunin_sekkei11_JIMU_NAME="", "", wskakunin_sekkei11_JIMU_NAME)</f>
        <v/>
      </c>
      <c r="H453" s="18"/>
    </row>
    <row r="454" spans="1:8" ht="15" customHeight="1">
      <c r="A454" s="47"/>
      <c r="B454" s="77" t="s">
        <v>628</v>
      </c>
      <c r="D454" s="37"/>
      <c r="E454" s="15" t="s">
        <v>931</v>
      </c>
      <c r="F454" s="141" t="str">
        <f>wskakunin_sekkei11_JIMU_NAME&amp;" "&amp;wskakunin_sekkei11_NAME</f>
        <v xml:space="preserve"> </v>
      </c>
      <c r="H454" s="18"/>
    </row>
    <row r="455" spans="1:8" ht="15" customHeight="1">
      <c r="A455" s="60"/>
      <c r="B455" s="77" t="s">
        <v>257</v>
      </c>
      <c r="C455" s="15" t="s">
        <v>932</v>
      </c>
      <c r="D455" s="220"/>
      <c r="E455" s="15" t="s">
        <v>933</v>
      </c>
      <c r="F455" s="141" t="str">
        <f>IF(wskakunin_sekkei11_ZIP="", "", wskakunin_sekkei11_ZIP)</f>
        <v/>
      </c>
      <c r="H455" s="18" t="s">
        <v>632</v>
      </c>
    </row>
    <row r="456" spans="1:8" ht="15" customHeight="1">
      <c r="A456" s="60"/>
      <c r="B456" s="77" t="s">
        <v>469</v>
      </c>
      <c r="C456" s="15" t="s">
        <v>934</v>
      </c>
      <c r="D456" s="141"/>
      <c r="E456" s="15" t="s">
        <v>935</v>
      </c>
      <c r="F456" s="141" t="str">
        <f>IF(wskakunin_sekkei11__address="", "", wskakunin_sekkei11__address)</f>
        <v/>
      </c>
      <c r="H456" s="18"/>
    </row>
    <row r="457" spans="1:8" ht="15" customHeight="1">
      <c r="A457" s="60"/>
      <c r="B457" s="77" t="s">
        <v>264</v>
      </c>
      <c r="C457" s="15" t="s">
        <v>936</v>
      </c>
      <c r="D457" s="220"/>
      <c r="E457" s="15" t="s">
        <v>937</v>
      </c>
      <c r="F457" s="141" t="str">
        <f>IF(wskakunin_sekkei11_TEL="", "", wskakunin_sekkei11_TEL)</f>
        <v/>
      </c>
      <c r="H457" s="18"/>
    </row>
    <row r="458" spans="1:8" ht="15" customHeight="1">
      <c r="A458" s="60"/>
      <c r="B458" s="77" t="s">
        <v>637</v>
      </c>
      <c r="C458" s="15" t="s">
        <v>938</v>
      </c>
      <c r="D458" s="220"/>
      <c r="E458" s="15" t="s">
        <v>939</v>
      </c>
      <c r="F458" s="141" t="str">
        <f>IF(wskakunin_sekkei11_DOC="","",wskakunin_sekkei11_DOC)</f>
        <v/>
      </c>
      <c r="H458" s="18"/>
    </row>
    <row r="459" spans="1:8" ht="15" customHeight="1">
      <c r="A459" s="60"/>
      <c r="B459" s="85"/>
      <c r="G459" s="18"/>
      <c r="H459" s="18"/>
    </row>
    <row r="460" spans="1:8" ht="15" customHeight="1">
      <c r="A460" s="1" t="s">
        <v>940</v>
      </c>
      <c r="B460" s="726"/>
      <c r="H460" s="18"/>
    </row>
    <row r="461" spans="1:8" ht="15" customHeight="1">
      <c r="A461" s="28"/>
      <c r="B461" s="77" t="s">
        <v>435</v>
      </c>
      <c r="C461" s="15" t="s">
        <v>941</v>
      </c>
      <c r="D461" s="141"/>
      <c r="E461" s="15" t="s">
        <v>942</v>
      </c>
      <c r="F461" s="141" t="str">
        <f>IF(wskakunin_sekkei12__sikaku="", "", wskakunin_sekkei12__sikaku)</f>
        <v/>
      </c>
      <c r="H461" s="18"/>
    </row>
    <row r="462" spans="1:8" ht="15" customHeight="1">
      <c r="A462" s="35"/>
      <c r="B462" s="77" t="s">
        <v>438</v>
      </c>
      <c r="C462" s="15" t="s">
        <v>943</v>
      </c>
      <c r="D462" s="141"/>
      <c r="E462" s="15" t="s">
        <v>944</v>
      </c>
      <c r="F462" s="141" t="str">
        <f>IF(wskakunin_sekkei12_SIKAKU__label="","",wskakunin_sekkei12_SIKAKU__label)</f>
        <v/>
      </c>
      <c r="H462" s="18"/>
    </row>
    <row r="463" spans="1:8" ht="15" customHeight="1">
      <c r="A463" s="35"/>
      <c r="B463" s="77" t="s">
        <v>441</v>
      </c>
      <c r="C463" s="15" t="s">
        <v>945</v>
      </c>
      <c r="D463" s="141"/>
      <c r="E463" s="15" t="s">
        <v>946</v>
      </c>
      <c r="F463" s="141" t="str">
        <f>IF(wskakunin_sekkei12_TOUROKU_KIKAN__label="","",wskakunin_sekkei12_TOUROKU_KIKAN__label)</f>
        <v/>
      </c>
      <c r="H463" s="18"/>
    </row>
    <row r="464" spans="1:8" ht="15" customHeight="1">
      <c r="A464" s="35"/>
      <c r="B464" s="77" t="s">
        <v>444</v>
      </c>
      <c r="C464" s="15" t="s">
        <v>947</v>
      </c>
      <c r="D464" s="220"/>
      <c r="E464" s="15" t="s">
        <v>948</v>
      </c>
      <c r="F464" s="141" t="str">
        <f>IF(wskakunin_sekkei12_KENTIKUSI_NO="","",wskakunin_sekkei12_KENTIKUSI_NO)</f>
        <v/>
      </c>
      <c r="H464" s="18"/>
    </row>
    <row r="465" spans="1:8" ht="15" customHeight="1">
      <c r="A465" s="47"/>
      <c r="B465" s="77" t="s">
        <v>247</v>
      </c>
      <c r="C465" s="15" t="s">
        <v>949</v>
      </c>
      <c r="D465" s="141"/>
      <c r="E465" s="15" t="s">
        <v>950</v>
      </c>
      <c r="F465" s="141" t="str">
        <f>IF(wskakunin_sekkei12_NAME="", "", wskakunin_sekkei12_NAME)</f>
        <v/>
      </c>
      <c r="H465" s="18"/>
    </row>
    <row r="466" spans="1:8" ht="15" customHeight="1">
      <c r="A466" s="47"/>
      <c r="B466" s="77" t="s">
        <v>452</v>
      </c>
      <c r="C466" s="15" t="s">
        <v>951</v>
      </c>
      <c r="D466" s="141"/>
      <c r="E466" s="15" t="s">
        <v>952</v>
      </c>
      <c r="F466" s="141" t="str">
        <f>IF(wskakunin_sekkei12_JIMU__sikaku="", "", wskakunin_sekkei12_JIMU__sikaku)</f>
        <v/>
      </c>
      <c r="H466" s="18"/>
    </row>
    <row r="467" spans="1:8" ht="15" customHeight="1">
      <c r="A467" s="47"/>
      <c r="B467" s="77" t="s">
        <v>455</v>
      </c>
      <c r="C467" s="15" t="s">
        <v>953</v>
      </c>
      <c r="D467" s="141"/>
      <c r="E467" s="15" t="s">
        <v>954</v>
      </c>
      <c r="F467" s="141" t="str">
        <f>IF(wskakunin_sekkei12_JIMU_SIKAKU__label="","",wskakunin_sekkei12_JIMU_SIKAKU__label)</f>
        <v/>
      </c>
      <c r="H467" s="18"/>
    </row>
    <row r="468" spans="1:8" ht="15" customHeight="1">
      <c r="A468" s="47"/>
      <c r="B468" s="77" t="s">
        <v>458</v>
      </c>
      <c r="C468" s="15" t="s">
        <v>955</v>
      </c>
      <c r="D468" s="141"/>
      <c r="E468" s="15" t="s">
        <v>956</v>
      </c>
      <c r="F468" s="141" t="str">
        <f>IF(wskakunin_sekkei12_JIMU_TOUROKU_KIKAN__label="","",wskakunin_sekkei12_JIMU_TOUROKU_KIKAN__label)</f>
        <v/>
      </c>
      <c r="H468" s="18"/>
    </row>
    <row r="469" spans="1:8" ht="15" customHeight="1">
      <c r="A469" s="47"/>
      <c r="B469" s="77" t="s">
        <v>461</v>
      </c>
      <c r="C469" s="15" t="s">
        <v>957</v>
      </c>
      <c r="D469" s="220"/>
      <c r="E469" s="15" t="s">
        <v>958</v>
      </c>
      <c r="F469" s="141" t="str">
        <f>IF(wskakunin_sekkei12_JIMU_NO="","",wskakunin_sekkei12_JIMU_NO)</f>
        <v/>
      </c>
      <c r="H469" s="18"/>
    </row>
    <row r="470" spans="1:8" ht="15" customHeight="1">
      <c r="A470" s="60"/>
      <c r="B470" s="77" t="s">
        <v>464</v>
      </c>
      <c r="C470" s="15" t="s">
        <v>959</v>
      </c>
      <c r="D470" s="141"/>
      <c r="E470" s="15" t="s">
        <v>960</v>
      </c>
      <c r="F470" s="141" t="str">
        <f>IF(wskakunin_sekkei12_JIMU_NAME="", "", wskakunin_sekkei12_JIMU_NAME)</f>
        <v/>
      </c>
      <c r="H470" s="18"/>
    </row>
    <row r="471" spans="1:8" ht="15" customHeight="1">
      <c r="A471" s="47"/>
      <c r="B471" s="77" t="s">
        <v>628</v>
      </c>
      <c r="D471" s="37"/>
      <c r="E471" s="15" t="s">
        <v>961</v>
      </c>
      <c r="F471" s="141" t="str">
        <f>wskakunin_sekkei12_JIMU_NAME&amp;" "&amp;wskakunin_sekkei12_NAME</f>
        <v xml:space="preserve"> </v>
      </c>
      <c r="H471" s="18"/>
    </row>
    <row r="472" spans="1:8" ht="15" customHeight="1">
      <c r="A472" s="60"/>
      <c r="B472" s="77" t="s">
        <v>257</v>
      </c>
      <c r="C472" s="15" t="s">
        <v>962</v>
      </c>
      <c r="D472" s="220"/>
      <c r="E472" s="15" t="s">
        <v>963</v>
      </c>
      <c r="F472" s="141" t="str">
        <f>IF(wskakunin_sekkei12_ZIP="", "", wskakunin_sekkei12_ZIP)</f>
        <v/>
      </c>
      <c r="H472" s="18" t="s">
        <v>632</v>
      </c>
    </row>
    <row r="473" spans="1:8" ht="15" customHeight="1">
      <c r="A473" s="60"/>
      <c r="B473" s="77" t="s">
        <v>469</v>
      </c>
      <c r="C473" s="15" t="s">
        <v>964</v>
      </c>
      <c r="D473" s="141"/>
      <c r="E473" s="15" t="s">
        <v>965</v>
      </c>
      <c r="F473" s="141" t="str">
        <f>IF(wskakunin_sekkei12__address="", "", wskakunin_sekkei12__address)</f>
        <v/>
      </c>
      <c r="H473" s="18"/>
    </row>
    <row r="474" spans="1:8" ht="15" customHeight="1">
      <c r="A474" s="60"/>
      <c r="B474" s="77" t="s">
        <v>264</v>
      </c>
      <c r="C474" s="15" t="s">
        <v>966</v>
      </c>
      <c r="D474" s="220"/>
      <c r="E474" s="15" t="s">
        <v>967</v>
      </c>
      <c r="F474" s="141" t="str">
        <f>IF(wskakunin_sekkei12_TEL="", "", wskakunin_sekkei12_TEL)</f>
        <v/>
      </c>
      <c r="H474" s="18"/>
    </row>
    <row r="475" spans="1:8" ht="15" customHeight="1">
      <c r="A475" s="60"/>
      <c r="B475" s="77" t="s">
        <v>637</v>
      </c>
      <c r="C475" s="15" t="s">
        <v>968</v>
      </c>
      <c r="D475" s="220"/>
      <c r="E475" s="15" t="s">
        <v>969</v>
      </c>
      <c r="F475" s="141" t="str">
        <f>IF(wskakunin_sekkei12_DOC="","",wskakunin_sekkei12_DOC)</f>
        <v/>
      </c>
      <c r="H475" s="18"/>
    </row>
    <row r="476" spans="1:8" ht="15" customHeight="1">
      <c r="A476" s="60"/>
      <c r="B476" s="85"/>
      <c r="G476" s="18"/>
      <c r="H476" s="18"/>
    </row>
    <row r="477" spans="1:8" s="21" customFormat="1" ht="15" customHeight="1">
      <c r="A477" s="81" t="s">
        <v>970</v>
      </c>
      <c r="B477" s="99"/>
    </row>
    <row r="478" spans="1:8" s="21" customFormat="1" ht="15" customHeight="1">
      <c r="A478" s="45" t="s">
        <v>971</v>
      </c>
      <c r="B478" s="100"/>
    </row>
    <row r="479" spans="1:8" s="21" customFormat="1" ht="15" customHeight="1">
      <c r="A479" s="101"/>
      <c r="B479" s="74" t="s">
        <v>972</v>
      </c>
      <c r="C479" s="36" t="s">
        <v>973</v>
      </c>
      <c r="D479" s="229"/>
      <c r="E479" s="36" t="s">
        <v>974</v>
      </c>
      <c r="F479" s="231" t="str">
        <f>IF(wskakunin_20kouzou101_NAME="","",wskakunin_20kouzou101_NAME)</f>
        <v/>
      </c>
    </row>
    <row r="480" spans="1:8" s="21" customFormat="1" ht="15" customHeight="1">
      <c r="A480" s="101"/>
      <c r="B480" s="74" t="s">
        <v>975</v>
      </c>
      <c r="C480" s="36" t="s">
        <v>976</v>
      </c>
      <c r="D480" s="229"/>
      <c r="E480" s="36" t="s">
        <v>977</v>
      </c>
      <c r="F480" s="232" t="str">
        <f>IF(wskakunin_20kouzou101_KOUZOUSEKKEI_KOUFU_NO="","",wskakunin_20kouzou101_KOUZOUSEKKEI_KOUFU_NO)</f>
        <v/>
      </c>
    </row>
    <row r="481" spans="1:6" s="21" customFormat="1" ht="15" customHeight="1">
      <c r="A481" s="101"/>
      <c r="B481" s="74" t="s">
        <v>972</v>
      </c>
      <c r="C481" s="36" t="s">
        <v>978</v>
      </c>
      <c r="D481" s="229"/>
      <c r="E481" s="36" t="s">
        <v>979</v>
      </c>
      <c r="F481" s="232" t="str">
        <f>IF(wskakunin_20kouzou102_NAME="","",wskakunin_20kouzou102_NAME)</f>
        <v/>
      </c>
    </row>
    <row r="482" spans="1:6" s="21" customFormat="1" ht="15" customHeight="1">
      <c r="A482" s="101"/>
      <c r="B482" s="74" t="s">
        <v>975</v>
      </c>
      <c r="C482" s="36" t="s">
        <v>980</v>
      </c>
      <c r="D482" s="229"/>
      <c r="E482" s="36" t="s">
        <v>981</v>
      </c>
      <c r="F482" s="232" t="str">
        <f>IF(wskakunin_20kouzou102_KOUZOUSEKKEI_KOUFU_NO="","",wskakunin_20kouzou102_KOUZOUSEKKEI_KOUFU_NO)</f>
        <v/>
      </c>
    </row>
    <row r="483" spans="1:6" s="21" customFormat="1" ht="15" customHeight="1">
      <c r="A483" s="101"/>
      <c r="B483" s="74" t="s">
        <v>972</v>
      </c>
      <c r="C483" s="36" t="s">
        <v>982</v>
      </c>
      <c r="D483" s="229"/>
      <c r="E483" s="36" t="s">
        <v>983</v>
      </c>
      <c r="F483" s="232" t="str">
        <f>IF(wskakunin_20kouzou103_NAME="","",wskakunin_20kouzou103_NAME)</f>
        <v/>
      </c>
    </row>
    <row r="484" spans="1:6" s="21" customFormat="1" ht="15" customHeight="1">
      <c r="A484" s="101"/>
      <c r="B484" s="74" t="s">
        <v>975</v>
      </c>
      <c r="C484" s="36" t="s">
        <v>984</v>
      </c>
      <c r="D484" s="229"/>
      <c r="E484" s="36" t="s">
        <v>985</v>
      </c>
      <c r="F484" s="232" t="str">
        <f>IF(wskakunin_20kouzou103_KOUZOUSEKKEI_KOUFU_NO="","",wskakunin_20kouzou103_KOUZOUSEKKEI_KOUFU_NO)</f>
        <v/>
      </c>
    </row>
    <row r="485" spans="1:6" s="21" customFormat="1" ht="15" customHeight="1">
      <c r="A485" s="101"/>
      <c r="B485" s="74" t="s">
        <v>972</v>
      </c>
      <c r="C485" s="36" t="s">
        <v>986</v>
      </c>
      <c r="D485" s="229"/>
      <c r="E485" s="36" t="s">
        <v>987</v>
      </c>
      <c r="F485" s="232" t="str">
        <f>IF(wskakunin_20kouzou104_NAME="","",wskakunin_20kouzou104_NAME)</f>
        <v/>
      </c>
    </row>
    <row r="486" spans="1:6" s="21" customFormat="1" ht="15" customHeight="1">
      <c r="A486" s="101"/>
      <c r="B486" s="74" t="s">
        <v>975</v>
      </c>
      <c r="C486" s="36" t="s">
        <v>988</v>
      </c>
      <c r="D486" s="229"/>
      <c r="E486" s="36" t="s">
        <v>989</v>
      </c>
      <c r="F486" s="232" t="str">
        <f>IF(wskakunin_20kouzou104_KOUZOUSEKKEI_KOUFU_NO="","",wskakunin_20kouzou104_KOUZOUSEKKEI_KOUFU_NO)</f>
        <v/>
      </c>
    </row>
    <row r="487" spans="1:6" s="21" customFormat="1" ht="15" customHeight="1">
      <c r="A487" s="101"/>
      <c r="B487" s="74" t="s">
        <v>972</v>
      </c>
      <c r="C487" s="36" t="s">
        <v>990</v>
      </c>
      <c r="D487" s="230"/>
      <c r="E487" s="36" t="s">
        <v>991</v>
      </c>
      <c r="F487" s="232" t="str">
        <f>IF(wskakunin_20kouzou105_NAME="","",wskakunin_20kouzou105_NAME)</f>
        <v/>
      </c>
    </row>
    <row r="488" spans="1:6" s="21" customFormat="1" ht="15" customHeight="1">
      <c r="A488" s="101"/>
      <c r="B488" s="74" t="s">
        <v>975</v>
      </c>
      <c r="C488" s="36" t="s">
        <v>992</v>
      </c>
      <c r="D488" s="229"/>
      <c r="E488" s="36" t="s">
        <v>993</v>
      </c>
      <c r="F488" s="232" t="str">
        <f>IF(wskakunin_20kouzou105_KOUZOUSEKKEI_KOUFU_NO="","",wskakunin_20kouzou105_KOUZOUSEKKEI_KOUFU_NO)</f>
        <v/>
      </c>
    </row>
    <row r="489" spans="1:6" ht="15" customHeight="1">
      <c r="A489" s="51"/>
      <c r="B489" s="74"/>
    </row>
    <row r="490" spans="1:6" s="21" customFormat="1" ht="15" customHeight="1">
      <c r="A490" s="45" t="s">
        <v>994</v>
      </c>
      <c r="B490" s="100"/>
      <c r="C490" s="199"/>
      <c r="D490" s="200"/>
      <c r="E490" s="199"/>
      <c r="F490" s="199"/>
    </row>
    <row r="491" spans="1:6" s="21" customFormat="1" ht="15" customHeight="1">
      <c r="A491" s="101"/>
      <c r="B491" s="74" t="s">
        <v>972</v>
      </c>
      <c r="C491" s="36" t="s">
        <v>995</v>
      </c>
      <c r="D491" s="229"/>
      <c r="E491" s="36" t="s">
        <v>996</v>
      </c>
      <c r="F491" s="231" t="str">
        <f>IF(wskakunin_20kouzou301_NAME="","",wskakunin_20kouzou301_NAME)</f>
        <v/>
      </c>
    </row>
    <row r="492" spans="1:6" s="21" customFormat="1" ht="15" customHeight="1">
      <c r="A492" s="101"/>
      <c r="B492" s="74" t="s">
        <v>975</v>
      </c>
      <c r="C492" s="199" t="s">
        <v>997</v>
      </c>
      <c r="D492" s="229"/>
      <c r="E492" s="199" t="s">
        <v>998</v>
      </c>
      <c r="F492" s="231" t="str">
        <f>IF(wskakunin_20kouzou301_KOUZOUSEKKEI_KOUFU_NO="","",wskakunin_20kouzou301_KOUZOUSEKKEI_KOUFU_NO)</f>
        <v/>
      </c>
    </row>
    <row r="493" spans="1:6" s="21" customFormat="1" ht="15" customHeight="1">
      <c r="A493" s="101"/>
      <c r="B493" s="74" t="s">
        <v>972</v>
      </c>
      <c r="C493" s="199" t="s">
        <v>999</v>
      </c>
      <c r="D493" s="229"/>
      <c r="E493" s="199" t="s">
        <v>1000</v>
      </c>
      <c r="F493" s="231" t="str">
        <f>IF(wskakunin_20kouzou302_NAME="","",wskakunin_20kouzou302_NAME)</f>
        <v/>
      </c>
    </row>
    <row r="494" spans="1:6" s="21" customFormat="1" ht="15" customHeight="1">
      <c r="A494" s="101"/>
      <c r="B494" s="74" t="s">
        <v>975</v>
      </c>
      <c r="C494" s="199" t="s">
        <v>1001</v>
      </c>
      <c r="D494" s="229"/>
      <c r="E494" s="199" t="s">
        <v>1002</v>
      </c>
      <c r="F494" s="231" t="str">
        <f>IF(wskakunin_20kouzou302_KOUZOUSEKKEI_KOUFU_NO="","",wskakunin_20kouzou302_KOUZOUSEKKEI_KOUFU_NO)</f>
        <v/>
      </c>
    </row>
    <row r="495" spans="1:6" s="21" customFormat="1" ht="15" customHeight="1">
      <c r="A495" s="101"/>
      <c r="B495" s="74" t="s">
        <v>972</v>
      </c>
      <c r="C495" s="199" t="s">
        <v>1003</v>
      </c>
      <c r="D495" s="229"/>
      <c r="E495" s="199" t="s">
        <v>1004</v>
      </c>
      <c r="F495" s="231" t="str">
        <f>IF(wskakunin_20kouzou303_NAME="","",wskakunin_20kouzou303_NAME)</f>
        <v/>
      </c>
    </row>
    <row r="496" spans="1:6" s="21" customFormat="1" ht="15" customHeight="1">
      <c r="A496" s="101"/>
      <c r="B496" s="74" t="s">
        <v>975</v>
      </c>
      <c r="C496" s="199" t="s">
        <v>1005</v>
      </c>
      <c r="D496" s="229"/>
      <c r="E496" s="199" t="s">
        <v>1006</v>
      </c>
      <c r="F496" s="231" t="str">
        <f>IF(wskakunin_20kouzou303_KOUZOUSEKKEI_KOUFU_NO="","",wskakunin_20kouzou303_KOUZOUSEKKEI_KOUFU_NO)</f>
        <v/>
      </c>
    </row>
    <row r="497" spans="1:6" s="21" customFormat="1" ht="15" customHeight="1">
      <c r="A497" s="101"/>
      <c r="B497" s="74" t="s">
        <v>972</v>
      </c>
      <c r="C497" s="199" t="s">
        <v>1007</v>
      </c>
      <c r="D497" s="229"/>
      <c r="E497" s="199" t="s">
        <v>1008</v>
      </c>
      <c r="F497" s="231" t="str">
        <f>IF(wskakunin_20kouzou304_NAME="","",wskakunin_20kouzou304_NAME)</f>
        <v/>
      </c>
    </row>
    <row r="498" spans="1:6" s="21" customFormat="1" ht="15" customHeight="1">
      <c r="A498" s="101"/>
      <c r="B498" s="74" t="s">
        <v>975</v>
      </c>
      <c r="C498" s="199" t="s">
        <v>1009</v>
      </c>
      <c r="D498" s="229"/>
      <c r="E498" s="199" t="s">
        <v>1010</v>
      </c>
      <c r="F498" s="231" t="str">
        <f>IF(wskakunin_20kouzou304_KOUZOUSEKKEI_KOUFU_NO="","",wskakunin_20kouzou304_KOUZOUSEKKEI_KOUFU_NO)</f>
        <v/>
      </c>
    </row>
    <row r="499" spans="1:6" s="21" customFormat="1" ht="15" customHeight="1">
      <c r="A499" s="101"/>
      <c r="B499" s="74" t="s">
        <v>972</v>
      </c>
      <c r="C499" s="199" t="s">
        <v>1011</v>
      </c>
      <c r="D499" s="229"/>
      <c r="E499" s="199" t="s">
        <v>1012</v>
      </c>
      <c r="F499" s="231" t="str">
        <f>IF(wskakunin_20kouzou305_NAME="","",wskakunin_20kouzou305_NAME)</f>
        <v/>
      </c>
    </row>
    <row r="500" spans="1:6" s="21" customFormat="1" ht="15" customHeight="1">
      <c r="A500" s="101"/>
      <c r="B500" s="74" t="s">
        <v>975</v>
      </c>
      <c r="C500" s="199" t="s">
        <v>1013</v>
      </c>
      <c r="D500" s="229"/>
      <c r="E500" s="199" t="s">
        <v>1014</v>
      </c>
      <c r="F500" s="231" t="str">
        <f>IF(wskakunin_20kouzou305_KOUZOUSEKKEI_KOUFU_NO="","",wskakunin_20kouzou305_KOUZOUSEKKEI_KOUFU_NO)</f>
        <v/>
      </c>
    </row>
    <row r="501" spans="1:6" ht="15" customHeight="1">
      <c r="A501" s="51"/>
      <c r="B501" s="74"/>
    </row>
    <row r="502" spans="1:6" s="21" customFormat="1" ht="15" customHeight="1">
      <c r="A502" s="45" t="s">
        <v>1015</v>
      </c>
      <c r="B502" s="100"/>
      <c r="C502" s="199"/>
      <c r="D502" s="200"/>
      <c r="E502" s="199"/>
      <c r="F502" s="199"/>
    </row>
    <row r="503" spans="1:6" s="21" customFormat="1" ht="15" customHeight="1">
      <c r="A503" s="101"/>
      <c r="B503" s="74" t="s">
        <v>972</v>
      </c>
      <c r="C503" s="36" t="s">
        <v>1016</v>
      </c>
      <c r="D503" s="229"/>
      <c r="E503" s="36" t="s">
        <v>1017</v>
      </c>
      <c r="F503" s="232" t="str">
        <f>IF(wskakunin_20setubi101_NAME="","",wskakunin_20setubi101_NAME)</f>
        <v/>
      </c>
    </row>
    <row r="504" spans="1:6" s="21" customFormat="1" ht="15" customHeight="1">
      <c r="A504" s="101"/>
      <c r="B504" s="74" t="s">
        <v>1018</v>
      </c>
      <c r="C504" s="36" t="s">
        <v>1019</v>
      </c>
      <c r="D504" s="229"/>
      <c r="E504" s="36" t="s">
        <v>1020</v>
      </c>
      <c r="F504" s="232" t="str">
        <f>IF(wskakunin_20setubi101_SETUBISEKKEI_KOUFU_NO="","",wskakunin_20setubi101_SETUBISEKKEI_KOUFU_NO)</f>
        <v/>
      </c>
    </row>
    <row r="505" spans="1:6" s="21" customFormat="1" ht="15" customHeight="1">
      <c r="A505" s="101"/>
      <c r="B505" s="74" t="s">
        <v>972</v>
      </c>
      <c r="C505" s="36" t="s">
        <v>1021</v>
      </c>
      <c r="D505" s="229"/>
      <c r="E505" s="36" t="s">
        <v>1022</v>
      </c>
      <c r="F505" s="232" t="str">
        <f>IF(wskakunin_20setubi102_NAME="","",wskakunin_20setubi102_NAME)</f>
        <v/>
      </c>
    </row>
    <row r="506" spans="1:6" s="21" customFormat="1" ht="15" customHeight="1">
      <c r="A506" s="101"/>
      <c r="B506" s="74" t="s">
        <v>1018</v>
      </c>
      <c r="C506" s="36" t="s">
        <v>1023</v>
      </c>
      <c r="D506" s="229"/>
      <c r="E506" s="36" t="s">
        <v>1024</v>
      </c>
      <c r="F506" s="232" t="str">
        <f>IF(wskakunin_20setubi102_SETUBISEKKEI_KOUFU_NO="","",wskakunin_20setubi102_SETUBISEKKEI_KOUFU_NO)</f>
        <v/>
      </c>
    </row>
    <row r="507" spans="1:6" s="21" customFormat="1" ht="15" customHeight="1">
      <c r="A507" s="101"/>
      <c r="B507" s="74" t="s">
        <v>972</v>
      </c>
      <c r="C507" s="36" t="s">
        <v>1025</v>
      </c>
      <c r="D507" s="229"/>
      <c r="E507" s="36" t="s">
        <v>1026</v>
      </c>
      <c r="F507" s="232" t="str">
        <f>IF(wskakunin_20setubi103_NAME="","",wskakunin_20setubi103_NAME)</f>
        <v/>
      </c>
    </row>
    <row r="508" spans="1:6" s="21" customFormat="1" ht="15" customHeight="1">
      <c r="A508" s="101"/>
      <c r="B508" s="74" t="s">
        <v>1018</v>
      </c>
      <c r="C508" s="36" t="s">
        <v>1027</v>
      </c>
      <c r="D508" s="229"/>
      <c r="E508" s="36" t="s">
        <v>1028</v>
      </c>
      <c r="F508" s="232" t="str">
        <f>IF(wskakunin_20setubi103_SETUBISEKKEI_KOUFU_NO="","",wskakunin_20setubi103_SETUBISEKKEI_KOUFU_NO)</f>
        <v/>
      </c>
    </row>
    <row r="509" spans="1:6" s="21" customFormat="1" ht="15" customHeight="1">
      <c r="A509" s="101"/>
      <c r="B509" s="74" t="s">
        <v>972</v>
      </c>
      <c r="C509" s="36" t="s">
        <v>1029</v>
      </c>
      <c r="D509" s="229"/>
      <c r="E509" s="36" t="s">
        <v>1030</v>
      </c>
      <c r="F509" s="232" t="str">
        <f>IF(wskakunin_20setubi104_NAME="","",wskakunin_20setubi104_NAME)</f>
        <v/>
      </c>
    </row>
    <row r="510" spans="1:6" s="21" customFormat="1" ht="15" customHeight="1">
      <c r="A510" s="101"/>
      <c r="B510" s="74" t="s">
        <v>1018</v>
      </c>
      <c r="C510" s="36" t="s">
        <v>1031</v>
      </c>
      <c r="D510" s="229"/>
      <c r="E510" s="36" t="s">
        <v>1032</v>
      </c>
      <c r="F510" s="232" t="str">
        <f>IF(wskakunin_20setubi104_SETUBISEKKEI_KOUFU_NO="","",wskakunin_20setubi104_SETUBISEKKEI_KOUFU_NO)</f>
        <v/>
      </c>
    </row>
    <row r="511" spans="1:6" s="21" customFormat="1" ht="15" customHeight="1">
      <c r="A511" s="101"/>
      <c r="B511" s="74" t="s">
        <v>972</v>
      </c>
      <c r="C511" s="36" t="s">
        <v>1033</v>
      </c>
      <c r="D511" s="229"/>
      <c r="E511" s="36" t="s">
        <v>1034</v>
      </c>
      <c r="F511" s="232" t="str">
        <f>IF(wskakunin_20setubi105_NAME="","",wskakunin_20setubi105_NAME)</f>
        <v/>
      </c>
    </row>
    <row r="512" spans="1:6" s="21" customFormat="1" ht="15" customHeight="1">
      <c r="A512" s="101"/>
      <c r="B512" s="74" t="s">
        <v>1018</v>
      </c>
      <c r="C512" s="36" t="s">
        <v>1035</v>
      </c>
      <c r="D512" s="229"/>
      <c r="E512" s="36" t="s">
        <v>1036</v>
      </c>
      <c r="F512" s="232" t="str">
        <f>IF(wskakunin_20setubi105_SETUBISEKKEI_KOUFU_NO="","",wskakunin_20setubi105_SETUBISEKKEI_KOUFU_NO)</f>
        <v/>
      </c>
    </row>
    <row r="513" spans="1:7" ht="15" customHeight="1">
      <c r="A513" s="51"/>
      <c r="B513" s="74"/>
    </row>
    <row r="514" spans="1:7" s="21" customFormat="1" ht="15" customHeight="1">
      <c r="A514" s="45" t="s">
        <v>1037</v>
      </c>
      <c r="B514" s="100"/>
      <c r="C514" s="199"/>
      <c r="D514" s="200"/>
      <c r="E514" s="199"/>
      <c r="F514" s="199"/>
    </row>
    <row r="515" spans="1:7" s="21" customFormat="1" ht="15" customHeight="1">
      <c r="A515" s="101"/>
      <c r="B515" s="74" t="s">
        <v>972</v>
      </c>
      <c r="C515" s="36" t="s">
        <v>1038</v>
      </c>
      <c r="D515" s="229"/>
      <c r="E515" s="36" t="s">
        <v>1039</v>
      </c>
      <c r="F515" s="232" t="str">
        <f>IF(wskakunin_20setubi301_NAME="","",wskakunin_20setubi301_NAME)</f>
        <v/>
      </c>
    </row>
    <row r="516" spans="1:7" s="21" customFormat="1" ht="15" customHeight="1">
      <c r="A516" s="101"/>
      <c r="B516" s="74" t="s">
        <v>1018</v>
      </c>
      <c r="C516" s="36" t="s">
        <v>1040</v>
      </c>
      <c r="D516" s="229"/>
      <c r="E516" s="36" t="s">
        <v>1041</v>
      </c>
      <c r="F516" s="232" t="str">
        <f>IF(wskakunin_20setubi301_SETUBISEKKEI_KOUFU_NO="","",wskakunin_20setubi301_SETUBISEKKEI_KOUFU_NO)</f>
        <v/>
      </c>
    </row>
    <row r="517" spans="1:7" s="21" customFormat="1" ht="15" customHeight="1">
      <c r="A517" s="101"/>
      <c r="B517" s="74" t="s">
        <v>972</v>
      </c>
      <c r="C517" s="36" t="s">
        <v>1042</v>
      </c>
      <c r="D517" s="229"/>
      <c r="E517" s="36" t="s">
        <v>1043</v>
      </c>
      <c r="F517" s="232" t="str">
        <f>IF(wskakunin_20setubi302_NAME="","",wskakunin_20setubi302_NAME)</f>
        <v/>
      </c>
    </row>
    <row r="518" spans="1:7" s="21" customFormat="1" ht="15" customHeight="1">
      <c r="A518" s="101"/>
      <c r="B518" s="74" t="s">
        <v>1018</v>
      </c>
      <c r="C518" s="36" t="s">
        <v>1044</v>
      </c>
      <c r="D518" s="229"/>
      <c r="E518" s="36" t="s">
        <v>1045</v>
      </c>
      <c r="F518" s="232" t="str">
        <f>IF(wskakunin_20setubi302_SETUBISEKKEI_KOUFU_NO="","",wskakunin_20setubi302_SETUBISEKKEI_KOUFU_NO)</f>
        <v/>
      </c>
    </row>
    <row r="519" spans="1:7" s="21" customFormat="1" ht="15" customHeight="1">
      <c r="A519" s="101"/>
      <c r="B519" s="74" t="s">
        <v>972</v>
      </c>
      <c r="C519" s="36" t="s">
        <v>1046</v>
      </c>
      <c r="D519" s="229"/>
      <c r="E519" s="36" t="s">
        <v>1047</v>
      </c>
      <c r="F519" s="232" t="str">
        <f>IF(wskakunin_20setubi303_NAME="","",wskakunin_20setubi303_NAME)</f>
        <v/>
      </c>
    </row>
    <row r="520" spans="1:7" s="21" customFormat="1" ht="15" customHeight="1">
      <c r="A520" s="101"/>
      <c r="B520" s="74" t="s">
        <v>1018</v>
      </c>
      <c r="C520" s="36" t="s">
        <v>1048</v>
      </c>
      <c r="D520" s="229"/>
      <c r="E520" s="36" t="s">
        <v>1049</v>
      </c>
      <c r="F520" s="232" t="str">
        <f>IF(wskakunin_20setubi303_SETUBISEKKEI_KOUFU_NO="","",wskakunin_20setubi303_SETUBISEKKEI_KOUFU_NO)</f>
        <v/>
      </c>
    </row>
    <row r="521" spans="1:7" s="21" customFormat="1" ht="15" customHeight="1">
      <c r="A521" s="101"/>
      <c r="B521" s="74" t="s">
        <v>972</v>
      </c>
      <c r="C521" s="36" t="s">
        <v>1050</v>
      </c>
      <c r="D521" s="229"/>
      <c r="E521" s="36" t="s">
        <v>1051</v>
      </c>
      <c r="F521" s="232" t="str">
        <f>IF(wskakunin_20setubi304_NAME="","",wskakunin_20setubi304_NAME)</f>
        <v/>
      </c>
    </row>
    <row r="522" spans="1:7" s="21" customFormat="1" ht="15" customHeight="1">
      <c r="A522" s="101"/>
      <c r="B522" s="74" t="s">
        <v>1018</v>
      </c>
      <c r="C522" s="36" t="s">
        <v>1052</v>
      </c>
      <c r="D522" s="229"/>
      <c r="E522" s="36" t="s">
        <v>1053</v>
      </c>
      <c r="F522" s="232" t="str">
        <f>IF(wskakunin_20setubi304_SETUBISEKKEI_KOUFU_NO="","",wskakunin_20setubi304_SETUBISEKKEI_KOUFU_NO)</f>
        <v/>
      </c>
    </row>
    <row r="523" spans="1:7" s="21" customFormat="1" ht="15" customHeight="1">
      <c r="A523" s="101"/>
      <c r="B523" s="74" t="s">
        <v>972</v>
      </c>
      <c r="C523" s="36" t="s">
        <v>1054</v>
      </c>
      <c r="D523" s="229"/>
      <c r="E523" s="36" t="s">
        <v>1055</v>
      </c>
      <c r="F523" s="232" t="str">
        <f>IF(wskakunin_20setubi305_NAME="","",wskakunin_20setubi305_NAME)</f>
        <v/>
      </c>
    </row>
    <row r="524" spans="1:7" s="21" customFormat="1" ht="15" customHeight="1">
      <c r="A524" s="101"/>
      <c r="B524" s="74" t="s">
        <v>1018</v>
      </c>
      <c r="C524" s="36" t="s">
        <v>1056</v>
      </c>
      <c r="D524" s="229"/>
      <c r="E524" s="36" t="s">
        <v>1057</v>
      </c>
      <c r="F524" s="232" t="str">
        <f>IF(wskakunin_20setubi305_SETUBISEKKEI_KOUFU_NO="","",wskakunin_20setubi305_SETUBISEKKEI_KOUFU_NO)</f>
        <v/>
      </c>
    </row>
    <row r="525" spans="1:7" ht="15" customHeight="1">
      <c r="A525" s="52"/>
      <c r="B525" s="75"/>
    </row>
    <row r="526" spans="1:7" s="18" customFormat="1" ht="15" customHeight="1">
      <c r="A526" s="40" t="s">
        <v>1058</v>
      </c>
      <c r="B526" s="41"/>
      <c r="C526" s="37"/>
      <c r="D526" s="37"/>
      <c r="E526" s="37"/>
    </row>
    <row r="527" spans="1:7" s="18" customFormat="1" ht="15" customHeight="1">
      <c r="A527" s="43" t="s">
        <v>1059</v>
      </c>
      <c r="B527" s="44"/>
      <c r="C527" s="37"/>
      <c r="D527" s="37"/>
      <c r="E527" s="37"/>
    </row>
    <row r="528" spans="1:7" s="38" customFormat="1" ht="15" customHeight="1">
      <c r="A528" s="42"/>
      <c r="B528" s="78" t="s">
        <v>972</v>
      </c>
      <c r="C528" s="15" t="s">
        <v>1060</v>
      </c>
      <c r="D528" s="220"/>
      <c r="E528" s="15" t="s">
        <v>1061</v>
      </c>
      <c r="F528" s="47" t="str">
        <f>IF(wskakunin_iken1_NAME="","",wskakunin_iken1_NAME)</f>
        <v/>
      </c>
      <c r="G528" s="18"/>
    </row>
    <row r="529" spans="1:22" s="38" customFormat="1" ht="15" customHeight="1">
      <c r="A529" s="42"/>
      <c r="B529" s="78" t="s">
        <v>1062</v>
      </c>
      <c r="C529" s="15" t="s">
        <v>1063</v>
      </c>
      <c r="D529" s="221"/>
      <c r="E529" s="15" t="s">
        <v>1064</v>
      </c>
      <c r="F529" s="47" t="str">
        <f>IF(wskakunin_iken1_JIMU_NAME="","",wskakunin_iken1_JIMU_NAME)</f>
        <v/>
      </c>
      <c r="G529" s="18"/>
    </row>
    <row r="530" spans="1:22" s="38" customFormat="1" ht="15" customHeight="1">
      <c r="A530" s="42"/>
      <c r="B530" s="78" t="s">
        <v>1065</v>
      </c>
      <c r="C530" s="15" t="s">
        <v>1066</v>
      </c>
      <c r="D530" s="221"/>
      <c r="E530" s="15" t="s">
        <v>1067</v>
      </c>
      <c r="F530" s="47" t="str">
        <f>IF(wskakunin_iken1_ZIP="","",wskakunin_iken1_ZIP)</f>
        <v/>
      </c>
      <c r="G530" s="18"/>
      <c r="I530" s="39"/>
      <c r="J530" s="39"/>
      <c r="K530" s="39"/>
      <c r="L530" s="39"/>
      <c r="M530" s="39"/>
      <c r="N530" s="39"/>
      <c r="O530" s="39"/>
      <c r="P530" s="39"/>
      <c r="Q530" s="39"/>
      <c r="R530" s="39"/>
      <c r="S530" s="39"/>
      <c r="T530" s="39"/>
      <c r="U530" s="39"/>
      <c r="V530" s="39"/>
    </row>
    <row r="531" spans="1:22" s="38" customFormat="1" ht="15" customHeight="1">
      <c r="A531" s="42"/>
      <c r="B531" s="78" t="s">
        <v>1068</v>
      </c>
      <c r="C531" s="15" t="s">
        <v>1069</v>
      </c>
      <c r="D531" s="221"/>
      <c r="E531" s="15" t="s">
        <v>1070</v>
      </c>
      <c r="F531" s="47" t="str">
        <f>IF(wskakunin_iken1__address="","",wskakunin_iken1__address)</f>
        <v/>
      </c>
      <c r="G531" s="18"/>
      <c r="I531" s="39"/>
      <c r="J531" s="39"/>
      <c r="K531" s="39"/>
      <c r="L531" s="39"/>
      <c r="M531" s="39"/>
      <c r="N531" s="39"/>
      <c r="O531" s="39"/>
      <c r="P531" s="39"/>
      <c r="Q531" s="39"/>
      <c r="R531" s="39"/>
      <c r="S531" s="39"/>
      <c r="T531" s="39"/>
      <c r="U531" s="39"/>
      <c r="V531" s="39"/>
    </row>
    <row r="532" spans="1:22" s="38" customFormat="1" ht="15" customHeight="1">
      <c r="A532" s="42"/>
      <c r="B532" s="78" t="s">
        <v>1071</v>
      </c>
      <c r="C532" s="15" t="s">
        <v>1072</v>
      </c>
      <c r="D532" s="221"/>
      <c r="E532" s="15" t="s">
        <v>1073</v>
      </c>
      <c r="F532" s="47" t="str">
        <f>IF(wskakunin_iken1_TEL="","",wskakunin_iken1_TEL)</f>
        <v/>
      </c>
      <c r="G532" s="18"/>
      <c r="I532" s="39"/>
      <c r="J532" s="39"/>
      <c r="K532" s="39"/>
      <c r="L532" s="39"/>
      <c r="M532" s="39"/>
      <c r="N532" s="39"/>
      <c r="O532" s="39"/>
      <c r="P532" s="39"/>
      <c r="Q532" s="39"/>
      <c r="R532" s="39"/>
      <c r="S532" s="39"/>
      <c r="T532" s="39"/>
      <c r="U532" s="39"/>
      <c r="V532" s="39"/>
    </row>
    <row r="533" spans="1:22" s="38" customFormat="1" ht="15" customHeight="1">
      <c r="A533" s="42"/>
      <c r="B533" s="78" t="s">
        <v>1074</v>
      </c>
      <c r="C533" s="15" t="s">
        <v>1075</v>
      </c>
      <c r="D533" s="221"/>
      <c r="E533" s="15" t="s">
        <v>1076</v>
      </c>
      <c r="F533" s="47" t="str">
        <f>IF(wskakunin_iken1_IKEN_NO="","",wskakunin_iken1_IKEN_NO)</f>
        <v/>
      </c>
      <c r="G533" s="18"/>
    </row>
    <row r="534" spans="1:22" s="18" customFormat="1" ht="15" customHeight="1">
      <c r="A534" s="40"/>
      <c r="B534" s="79" t="s">
        <v>1077</v>
      </c>
      <c r="C534" s="37" t="s">
        <v>1078</v>
      </c>
      <c r="D534" s="220"/>
      <c r="E534" s="37" t="s">
        <v>1079</v>
      </c>
      <c r="F534" s="141" t="str">
        <f>IF(wskakunin_iken1_DOC="","",wskakunin_iken1_DOC)</f>
        <v/>
      </c>
    </row>
    <row r="535" spans="1:22" s="18" customFormat="1" ht="15" customHeight="1">
      <c r="A535" s="40"/>
      <c r="B535" s="80"/>
      <c r="C535" s="37"/>
    </row>
    <row r="536" spans="1:22" s="18" customFormat="1" ht="15" customHeight="1">
      <c r="A536" s="43" t="s">
        <v>1080</v>
      </c>
      <c r="B536" s="44"/>
      <c r="C536" s="37"/>
      <c r="D536" s="37"/>
    </row>
    <row r="537" spans="1:22" s="38" customFormat="1" ht="15" customHeight="1">
      <c r="A537" s="42"/>
      <c r="B537" s="78" t="s">
        <v>972</v>
      </c>
      <c r="C537" s="15" t="s">
        <v>1081</v>
      </c>
      <c r="D537" s="233"/>
      <c r="E537" s="15" t="s">
        <v>1082</v>
      </c>
      <c r="F537" s="47" t="str">
        <f>IF(wskakunin_iken2_NAME="","",wskakunin_iken2_NAME)</f>
        <v/>
      </c>
      <c r="G537" s="18"/>
    </row>
    <row r="538" spans="1:22" s="38" customFormat="1" ht="15" customHeight="1">
      <c r="A538" s="42"/>
      <c r="B538" s="78" t="s">
        <v>1062</v>
      </c>
      <c r="C538" s="15" t="s">
        <v>1083</v>
      </c>
      <c r="D538" s="233"/>
      <c r="E538" s="15" t="s">
        <v>1084</v>
      </c>
      <c r="F538" s="47" t="str">
        <f>IF(wskakunin_iken2_JIMU_NAME="","",wskakunin_iken2_JIMU_NAME)</f>
        <v/>
      </c>
      <c r="G538" s="18"/>
    </row>
    <row r="539" spans="1:22" s="38" customFormat="1" ht="15" customHeight="1">
      <c r="A539" s="42"/>
      <c r="B539" s="78" t="s">
        <v>1065</v>
      </c>
      <c r="C539" s="15" t="s">
        <v>1085</v>
      </c>
      <c r="D539" s="233"/>
      <c r="E539" s="15" t="s">
        <v>1086</v>
      </c>
      <c r="F539" s="47" t="str">
        <f>IF(wskakunin_iken2_ZIP="","",wskakunin_iken2_ZIP)</f>
        <v/>
      </c>
      <c r="G539" s="18"/>
      <c r="I539" s="39"/>
      <c r="J539" s="39"/>
      <c r="K539" s="39"/>
      <c r="L539" s="39"/>
      <c r="M539" s="39"/>
      <c r="N539" s="39"/>
      <c r="O539" s="39"/>
      <c r="P539" s="39"/>
      <c r="Q539" s="39"/>
      <c r="R539" s="39"/>
      <c r="S539" s="39"/>
      <c r="T539" s="39"/>
      <c r="U539" s="39"/>
      <c r="V539" s="39"/>
    </row>
    <row r="540" spans="1:22" s="38" customFormat="1" ht="15" customHeight="1">
      <c r="A540" s="42"/>
      <c r="B540" s="78" t="s">
        <v>1068</v>
      </c>
      <c r="C540" s="15" t="s">
        <v>1087</v>
      </c>
      <c r="D540" s="233"/>
      <c r="E540" s="15" t="s">
        <v>1088</v>
      </c>
      <c r="F540" s="47" t="str">
        <f>IF(wskakunin_iken2__address="","",wskakunin_iken2__address)</f>
        <v/>
      </c>
      <c r="G540" s="18"/>
      <c r="I540" s="39"/>
      <c r="J540" s="39"/>
      <c r="K540" s="39"/>
      <c r="L540" s="39"/>
      <c r="M540" s="39"/>
      <c r="N540" s="39"/>
      <c r="O540" s="39"/>
      <c r="P540" s="39"/>
      <c r="Q540" s="39"/>
      <c r="R540" s="39"/>
      <c r="S540" s="39"/>
      <c r="T540" s="39"/>
      <c r="U540" s="39"/>
      <c r="V540" s="39"/>
    </row>
    <row r="541" spans="1:22" s="38" customFormat="1" ht="15" customHeight="1">
      <c r="A541" s="42"/>
      <c r="B541" s="78" t="s">
        <v>1071</v>
      </c>
      <c r="C541" s="15" t="s">
        <v>1089</v>
      </c>
      <c r="D541" s="233"/>
      <c r="E541" s="15" t="s">
        <v>1090</v>
      </c>
      <c r="F541" s="47" t="str">
        <f>IF(wskakunin_iken2_TEL="","",wskakunin_iken2_TEL)</f>
        <v/>
      </c>
      <c r="G541" s="18"/>
      <c r="I541" s="39"/>
      <c r="J541" s="39"/>
      <c r="K541" s="39"/>
      <c r="L541" s="39"/>
      <c r="M541" s="39"/>
      <c r="N541" s="39"/>
      <c r="O541" s="39"/>
      <c r="P541" s="39"/>
      <c r="Q541" s="39"/>
      <c r="R541" s="39"/>
      <c r="S541" s="39"/>
      <c r="T541" s="39"/>
      <c r="U541" s="39"/>
      <c r="V541" s="39"/>
    </row>
    <row r="542" spans="1:22" s="38" customFormat="1" ht="15" customHeight="1">
      <c r="A542" s="42"/>
      <c r="B542" s="78" t="s">
        <v>1074</v>
      </c>
      <c r="C542" s="15" t="s">
        <v>1091</v>
      </c>
      <c r="D542" s="233"/>
      <c r="E542" s="15" t="s">
        <v>1092</v>
      </c>
      <c r="F542" s="47" t="str">
        <f>IF(wskakunin_iken2_IKEN_NO="","",wskakunin_iken2_IKEN_NO)</f>
        <v/>
      </c>
      <c r="G542" s="18"/>
    </row>
    <row r="543" spans="1:22" s="18" customFormat="1" ht="15" customHeight="1">
      <c r="A543" s="40"/>
      <c r="B543" s="79" t="s">
        <v>1077</v>
      </c>
      <c r="C543" s="37" t="s">
        <v>1093</v>
      </c>
      <c r="D543" s="220"/>
      <c r="E543" s="37" t="s">
        <v>1094</v>
      </c>
      <c r="F543" s="141" t="str">
        <f>IF(wskakunin_iken2_DOC="","",wskakunin_iken2_DOC)</f>
        <v/>
      </c>
    </row>
    <row r="544" spans="1:22" s="18" customFormat="1" ht="15" customHeight="1">
      <c r="A544" s="40"/>
      <c r="B544" s="80"/>
      <c r="C544" s="37"/>
      <c r="D544" s="37"/>
    </row>
    <row r="545" spans="1:22" s="18" customFormat="1" ht="15" customHeight="1">
      <c r="A545" s="43" t="s">
        <v>1095</v>
      </c>
      <c r="B545" s="44"/>
      <c r="C545" s="37"/>
      <c r="D545" s="37"/>
    </row>
    <row r="546" spans="1:22" s="38" customFormat="1" ht="15" customHeight="1">
      <c r="A546" s="42"/>
      <c r="B546" s="78" t="s">
        <v>972</v>
      </c>
      <c r="C546" s="15" t="s">
        <v>1096</v>
      </c>
      <c r="D546" s="221"/>
      <c r="E546" s="15" t="s">
        <v>1097</v>
      </c>
      <c r="F546" s="47" t="str">
        <f>IF(wskakunin_iken3_NAME="","",wskakunin_iken3_NAME)</f>
        <v/>
      </c>
      <c r="G546" s="18"/>
    </row>
    <row r="547" spans="1:22" s="38" customFormat="1" ht="15" customHeight="1">
      <c r="A547" s="42"/>
      <c r="B547" s="78" t="s">
        <v>1062</v>
      </c>
      <c r="C547" s="15" t="s">
        <v>1098</v>
      </c>
      <c r="D547" s="221"/>
      <c r="E547" s="15" t="s">
        <v>1099</v>
      </c>
      <c r="F547" s="47" t="str">
        <f>IF(wskakunin_iken3_JIMU_NAME="","",wskakunin_iken3_JIMU_NAME)</f>
        <v/>
      </c>
      <c r="G547" s="18"/>
    </row>
    <row r="548" spans="1:22" s="38" customFormat="1" ht="15" customHeight="1">
      <c r="A548" s="42"/>
      <c r="B548" s="78" t="s">
        <v>1065</v>
      </c>
      <c r="C548" s="15" t="s">
        <v>1100</v>
      </c>
      <c r="D548" s="221"/>
      <c r="E548" s="15" t="s">
        <v>1101</v>
      </c>
      <c r="F548" s="47" t="str">
        <f>IF(wskakunin_iken3_ZIP="","",wskakunin_iken3_ZIP)</f>
        <v/>
      </c>
      <c r="G548" s="18"/>
      <c r="I548" s="39"/>
      <c r="J548" s="39"/>
      <c r="K548" s="39"/>
      <c r="L548" s="39"/>
      <c r="M548" s="39"/>
      <c r="N548" s="39"/>
      <c r="O548" s="39"/>
      <c r="P548" s="39"/>
      <c r="Q548" s="39"/>
      <c r="R548" s="39"/>
      <c r="S548" s="39"/>
      <c r="T548" s="39"/>
      <c r="U548" s="39"/>
      <c r="V548" s="39"/>
    </row>
    <row r="549" spans="1:22" s="38" customFormat="1" ht="15" customHeight="1">
      <c r="A549" s="42"/>
      <c r="B549" s="78" t="s">
        <v>1068</v>
      </c>
      <c r="C549" s="15" t="s">
        <v>1102</v>
      </c>
      <c r="D549" s="221"/>
      <c r="E549" s="15" t="s">
        <v>1103</v>
      </c>
      <c r="F549" s="47" t="str">
        <f>IF(wskakunin_iken3__address="","",wskakunin_iken3__address)</f>
        <v/>
      </c>
      <c r="G549" s="18"/>
      <c r="I549" s="39"/>
      <c r="J549" s="39"/>
      <c r="K549" s="39"/>
      <c r="L549" s="39"/>
      <c r="M549" s="39"/>
      <c r="N549" s="39"/>
      <c r="O549" s="39"/>
      <c r="P549" s="39"/>
      <c r="Q549" s="39"/>
      <c r="R549" s="39"/>
      <c r="S549" s="39"/>
      <c r="T549" s="39"/>
      <c r="U549" s="39"/>
      <c r="V549" s="39"/>
    </row>
    <row r="550" spans="1:22" s="38" customFormat="1" ht="15" customHeight="1">
      <c r="A550" s="42"/>
      <c r="B550" s="78" t="s">
        <v>1071</v>
      </c>
      <c r="C550" s="15" t="s">
        <v>1104</v>
      </c>
      <c r="D550" s="221"/>
      <c r="E550" s="15" t="s">
        <v>1105</v>
      </c>
      <c r="F550" s="47" t="str">
        <f>IF(wskakunin_iken3_TEL="","",wskakunin_iken3_TEL)</f>
        <v/>
      </c>
      <c r="G550" s="18"/>
      <c r="I550" s="39"/>
      <c r="J550" s="39"/>
      <c r="K550" s="39"/>
      <c r="L550" s="39"/>
      <c r="M550" s="39"/>
      <c r="N550" s="39"/>
      <c r="O550" s="39"/>
      <c r="P550" s="39"/>
      <c r="Q550" s="39"/>
      <c r="R550" s="39"/>
      <c r="S550" s="39"/>
      <c r="T550" s="39"/>
      <c r="U550" s="39"/>
      <c r="V550" s="39"/>
    </row>
    <row r="551" spans="1:22" s="38" customFormat="1" ht="15" customHeight="1">
      <c r="A551" s="42"/>
      <c r="B551" s="78" t="s">
        <v>1074</v>
      </c>
      <c r="C551" s="15" t="s">
        <v>1106</v>
      </c>
      <c r="D551" s="221"/>
      <c r="E551" s="15" t="s">
        <v>1107</v>
      </c>
      <c r="F551" s="47" t="str">
        <f>IF(wskakunin_iken3_IKEN_NO="","",wskakunin_iken3_IKEN_NO)</f>
        <v/>
      </c>
      <c r="G551" s="18"/>
    </row>
    <row r="552" spans="1:22" s="18" customFormat="1" ht="15" customHeight="1">
      <c r="A552" s="40"/>
      <c r="B552" s="79" t="s">
        <v>1077</v>
      </c>
      <c r="C552" s="37" t="s">
        <v>1108</v>
      </c>
      <c r="D552" s="220"/>
      <c r="E552" s="37" t="s">
        <v>1109</v>
      </c>
      <c r="F552" s="141" t="str">
        <f>IF(wskakunin_iken3_DOC="","",wskakunin_iken3_DOC)</f>
        <v/>
      </c>
    </row>
    <row r="553" spans="1:22" s="18" customFormat="1" ht="15" customHeight="1">
      <c r="A553" s="40"/>
      <c r="B553" s="80"/>
      <c r="C553" s="37"/>
      <c r="D553" s="37"/>
    </row>
    <row r="554" spans="1:22" s="18" customFormat="1" ht="15" customHeight="1">
      <c r="A554" s="43" t="s">
        <v>1110</v>
      </c>
      <c r="B554" s="44"/>
      <c r="C554" s="37"/>
      <c r="D554" s="37"/>
    </row>
    <row r="555" spans="1:22" s="38" customFormat="1" ht="15" customHeight="1">
      <c r="A555" s="42"/>
      <c r="B555" s="78" t="s">
        <v>972</v>
      </c>
      <c r="C555" s="15" t="s">
        <v>1111</v>
      </c>
      <c r="D555" s="221"/>
      <c r="E555" s="15" t="s">
        <v>1112</v>
      </c>
      <c r="F555" s="47" t="str">
        <f>IF(wskakunin_iken4_NAME="","",wskakunin_iken4_NAME)</f>
        <v/>
      </c>
      <c r="G555" s="18"/>
    </row>
    <row r="556" spans="1:22" s="38" customFormat="1" ht="15" customHeight="1">
      <c r="A556" s="42"/>
      <c r="B556" s="78" t="s">
        <v>1062</v>
      </c>
      <c r="C556" s="15" t="s">
        <v>1113</v>
      </c>
      <c r="D556" s="221"/>
      <c r="E556" s="15" t="s">
        <v>1114</v>
      </c>
      <c r="F556" s="47" t="str">
        <f>IF(wskakunin_iken4_JIMU_NAME="","",wskakunin_iken4_JIMU_NAME)</f>
        <v/>
      </c>
      <c r="G556" s="18"/>
    </row>
    <row r="557" spans="1:22" s="38" customFormat="1" ht="15" customHeight="1">
      <c r="A557" s="42"/>
      <c r="B557" s="78" t="s">
        <v>1065</v>
      </c>
      <c r="C557" s="15" t="s">
        <v>1115</v>
      </c>
      <c r="D557" s="221"/>
      <c r="E557" s="15" t="s">
        <v>1116</v>
      </c>
      <c r="F557" s="47" t="str">
        <f>IF(wskakunin_iken4_ZIP="","",wskakunin_iken4_ZIP)</f>
        <v/>
      </c>
      <c r="G557" s="18"/>
      <c r="I557" s="39"/>
      <c r="J557" s="39"/>
      <c r="K557" s="39"/>
      <c r="L557" s="39"/>
      <c r="M557" s="39"/>
      <c r="N557" s="39"/>
      <c r="O557" s="39"/>
      <c r="P557" s="39"/>
      <c r="Q557" s="39"/>
      <c r="R557" s="39"/>
      <c r="S557" s="39"/>
      <c r="T557" s="39"/>
      <c r="U557" s="39"/>
      <c r="V557" s="39"/>
    </row>
    <row r="558" spans="1:22" s="38" customFormat="1" ht="15" customHeight="1">
      <c r="A558" s="42"/>
      <c r="B558" s="78" t="s">
        <v>1068</v>
      </c>
      <c r="C558" s="15" t="s">
        <v>1117</v>
      </c>
      <c r="D558" s="221"/>
      <c r="E558" s="15" t="s">
        <v>1118</v>
      </c>
      <c r="F558" s="47" t="str">
        <f>IF(wskakunin_iken4__address="","",wskakunin_iken4__address)</f>
        <v/>
      </c>
      <c r="G558" s="18"/>
      <c r="I558" s="39"/>
      <c r="J558" s="39"/>
      <c r="K558" s="39"/>
      <c r="L558" s="39"/>
      <c r="M558" s="39"/>
      <c r="N558" s="39"/>
      <c r="O558" s="39"/>
      <c r="P558" s="39"/>
      <c r="Q558" s="39"/>
      <c r="R558" s="39"/>
      <c r="S558" s="39"/>
      <c r="T558" s="39"/>
      <c r="U558" s="39"/>
      <c r="V558" s="39"/>
    </row>
    <row r="559" spans="1:22" s="38" customFormat="1" ht="15" customHeight="1">
      <c r="A559" s="42"/>
      <c r="B559" s="78" t="s">
        <v>1071</v>
      </c>
      <c r="C559" s="15" t="s">
        <v>1119</v>
      </c>
      <c r="D559" s="221"/>
      <c r="E559" s="15" t="s">
        <v>1120</v>
      </c>
      <c r="F559" s="47" t="str">
        <f>IF(wskakunin_iken4_TEL="","",wskakunin_iken4_TEL)</f>
        <v/>
      </c>
      <c r="G559" s="18"/>
      <c r="I559" s="39"/>
      <c r="J559" s="39"/>
      <c r="K559" s="39"/>
      <c r="L559" s="39"/>
      <c r="M559" s="39"/>
      <c r="N559" s="39"/>
      <c r="O559" s="39"/>
      <c r="P559" s="39"/>
      <c r="Q559" s="39"/>
      <c r="R559" s="39"/>
      <c r="S559" s="39"/>
      <c r="T559" s="39"/>
      <c r="U559" s="39"/>
      <c r="V559" s="39"/>
    </row>
    <row r="560" spans="1:22" s="38" customFormat="1" ht="15" customHeight="1">
      <c r="A560" s="42"/>
      <c r="B560" s="78" t="s">
        <v>1074</v>
      </c>
      <c r="C560" s="15" t="s">
        <v>1121</v>
      </c>
      <c r="D560" s="221"/>
      <c r="E560" s="15" t="s">
        <v>1122</v>
      </c>
      <c r="F560" s="47" t="str">
        <f>IF(wskakunin_iken4_IKEN_NO="","",wskakunin_iken4_IKEN_NO)</f>
        <v/>
      </c>
      <c r="G560" s="18"/>
    </row>
    <row r="561" spans="1:8" s="18" customFormat="1" ht="15" customHeight="1">
      <c r="A561" s="40"/>
      <c r="B561" s="79" t="s">
        <v>1077</v>
      </c>
      <c r="C561" s="37" t="s">
        <v>1123</v>
      </c>
      <c r="D561" s="220"/>
      <c r="E561" s="37" t="s">
        <v>1124</v>
      </c>
      <c r="F561" s="141" t="str">
        <f>IF(wskakunin_iken4_DOC="","",wskakunin_iken4_DOC)</f>
        <v/>
      </c>
    </row>
    <row r="562" spans="1:8" s="18" customFormat="1" ht="15" customHeight="1">
      <c r="A562" s="43" t="s">
        <v>1125</v>
      </c>
      <c r="B562" s="44"/>
      <c r="C562" s="36"/>
      <c r="D562" s="36"/>
      <c r="E562" s="36"/>
      <c r="F562" s="36"/>
    </row>
    <row r="563" spans="1:8" s="18" customFormat="1" ht="15" customHeight="1">
      <c r="A563" s="42"/>
      <c r="B563" s="78" t="s">
        <v>972</v>
      </c>
      <c r="C563" s="15" t="s">
        <v>1126</v>
      </c>
      <c r="D563" s="221"/>
      <c r="E563" s="36" t="s">
        <v>1127</v>
      </c>
      <c r="F563" s="141" t="str">
        <f>IF(wskakunin_iken5_NAME="","",wskakunin_iken5_NAME)</f>
        <v/>
      </c>
    </row>
    <row r="564" spans="1:8" s="18" customFormat="1" ht="15" customHeight="1">
      <c r="A564" s="42"/>
      <c r="B564" s="78" t="s">
        <v>1062</v>
      </c>
      <c r="C564" s="15" t="s">
        <v>1128</v>
      </c>
      <c r="D564" s="221"/>
      <c r="E564" s="36" t="s">
        <v>1129</v>
      </c>
      <c r="F564" s="141" t="str">
        <f>IF(wskakunin_iken5_JIMU_NAME="","",wskakunin_iken5_JIMU_NAME)</f>
        <v/>
      </c>
    </row>
    <row r="565" spans="1:8" s="18" customFormat="1" ht="15" customHeight="1">
      <c r="A565" s="42"/>
      <c r="B565" s="78" t="s">
        <v>1065</v>
      </c>
      <c r="C565" s="15" t="s">
        <v>1130</v>
      </c>
      <c r="D565" s="221"/>
      <c r="E565" s="36" t="s">
        <v>1131</v>
      </c>
      <c r="F565" s="141" t="str">
        <f>IF(wskakunin_iken5_ZIP="","",wskakunin_iken5_ZIP)</f>
        <v/>
      </c>
    </row>
    <row r="566" spans="1:8" s="18" customFormat="1" ht="15" customHeight="1">
      <c r="A566" s="42"/>
      <c r="B566" s="78" t="s">
        <v>1068</v>
      </c>
      <c r="C566" s="15" t="s">
        <v>1132</v>
      </c>
      <c r="D566" s="221"/>
      <c r="E566" s="36" t="s">
        <v>1133</v>
      </c>
      <c r="F566" s="141" t="str">
        <f>IF(wskakunin_iken5__address="","",wskakunin_iken5__address)</f>
        <v/>
      </c>
    </row>
    <row r="567" spans="1:8" s="18" customFormat="1" ht="15" customHeight="1">
      <c r="A567" s="42"/>
      <c r="B567" s="78" t="s">
        <v>1071</v>
      </c>
      <c r="C567" s="15" t="s">
        <v>1134</v>
      </c>
      <c r="D567" s="221"/>
      <c r="E567" s="36" t="s">
        <v>1135</v>
      </c>
      <c r="F567" s="141" t="str">
        <f>IF(wskakunin_iken5_TEL="","",wskakunin_iken5_TEL)</f>
        <v/>
      </c>
    </row>
    <row r="568" spans="1:8" s="18" customFormat="1" ht="15" customHeight="1">
      <c r="A568" s="42"/>
      <c r="B568" s="78" t="s">
        <v>1074</v>
      </c>
      <c r="C568" s="15" t="s">
        <v>1136</v>
      </c>
      <c r="D568" s="221"/>
      <c r="E568" s="36" t="s">
        <v>1137</v>
      </c>
      <c r="F568" s="141" t="str">
        <f>IF(wskakunin_iken5_IKEN_NO="","",wskakunin_iken5_IKEN_NO)</f>
        <v/>
      </c>
    </row>
    <row r="569" spans="1:8" s="18" customFormat="1" ht="15" customHeight="1">
      <c r="A569" s="40"/>
      <c r="B569" s="79" t="s">
        <v>1077</v>
      </c>
      <c r="C569" s="37" t="s">
        <v>1138</v>
      </c>
      <c r="D569" s="221"/>
      <c r="E569" s="36" t="s">
        <v>1139</v>
      </c>
      <c r="F569" s="141" t="str">
        <f>IF(wskakunin_iken5_DOC="","",wskakunin_iken5_DOC)</f>
        <v/>
      </c>
    </row>
    <row r="570" spans="1:8" s="36" customFormat="1" ht="15" customHeight="1">
      <c r="A570" s="201"/>
      <c r="B570" s="80"/>
      <c r="G570" s="18"/>
    </row>
    <row r="571" spans="1:8" ht="15" customHeight="1">
      <c r="A571" s="1" t="s">
        <v>1140</v>
      </c>
      <c r="B571" s="47" t="s">
        <v>1141</v>
      </c>
      <c r="G571" s="18"/>
      <c r="H571" s="18"/>
    </row>
    <row r="572" spans="1:8" ht="15" customHeight="1">
      <c r="A572" s="28"/>
      <c r="B572" s="71" t="s">
        <v>435</v>
      </c>
      <c r="C572" s="15" t="s">
        <v>1142</v>
      </c>
      <c r="D572" s="141"/>
      <c r="E572" s="15" t="s">
        <v>1143</v>
      </c>
      <c r="F572" s="141" t="str">
        <f>IF(wskakunin_kanri1__sikaku="", "", wskakunin_kanri1__sikaku)</f>
        <v/>
      </c>
      <c r="G572" s="18"/>
      <c r="H572" s="18"/>
    </row>
    <row r="573" spans="1:8" ht="15" customHeight="1">
      <c r="A573" s="28"/>
      <c r="B573" s="71" t="s">
        <v>438</v>
      </c>
      <c r="C573" s="15" t="s">
        <v>1144</v>
      </c>
      <c r="D573" s="141"/>
      <c r="E573" s="15" t="s">
        <v>1145</v>
      </c>
      <c r="F573" s="141" t="str">
        <f>IF(wskakunin_kanri1_SIKAKU__label="", "", wskakunin_kanri1_SIKAKU__label)</f>
        <v/>
      </c>
      <c r="G573" s="18"/>
      <c r="H573" s="18"/>
    </row>
    <row r="574" spans="1:8" ht="15" customHeight="1">
      <c r="A574" s="35"/>
      <c r="B574" s="77" t="s">
        <v>441</v>
      </c>
      <c r="C574" s="15" t="s">
        <v>1146</v>
      </c>
      <c r="D574" s="141"/>
      <c r="E574" s="15" t="s">
        <v>1147</v>
      </c>
      <c r="F574" s="141" t="str">
        <f>IF(wskakunin_kanri1_TOUROKU_KIKAN__label="","",wskakunin_kanri1_TOUROKU_KIKAN__label)</f>
        <v/>
      </c>
      <c r="G574" s="18"/>
      <c r="H574" s="18"/>
    </row>
    <row r="575" spans="1:8" ht="15" customHeight="1">
      <c r="A575" s="35"/>
      <c r="B575" s="77" t="s">
        <v>444</v>
      </c>
      <c r="C575" s="15" t="s">
        <v>1148</v>
      </c>
      <c r="D575" s="220"/>
      <c r="E575" s="15" t="s">
        <v>1149</v>
      </c>
      <c r="F575" s="141" t="str">
        <f>IF(wskakunin_kanri1_KENTIKUSI_NO="","",wskakunin_kanri1_KENTIKUSI_NO)</f>
        <v/>
      </c>
      <c r="G575" s="18"/>
      <c r="H575" s="18"/>
    </row>
    <row r="576" spans="1:8" ht="15" customHeight="1">
      <c r="A576" s="60"/>
      <c r="B576" s="71" t="s">
        <v>247</v>
      </c>
      <c r="C576" s="15" t="s">
        <v>1150</v>
      </c>
      <c r="D576" s="141"/>
      <c r="E576" s="15" t="s">
        <v>1151</v>
      </c>
      <c r="F576" s="141" t="str">
        <f>IF(wskakunin_kanri1_NAME="", "", wskakunin_kanri1_NAME)</f>
        <v/>
      </c>
      <c r="G576" s="18"/>
      <c r="H576" s="18"/>
    </row>
    <row r="577" spans="1:8" ht="15" customHeight="1">
      <c r="A577" s="60"/>
      <c r="B577" s="71" t="s">
        <v>452</v>
      </c>
      <c r="C577" s="15" t="s">
        <v>1152</v>
      </c>
      <c r="D577" s="141"/>
      <c r="E577" s="15" t="s">
        <v>1153</v>
      </c>
      <c r="F577" s="141" t="str">
        <f>IF(wskakunin_kanri1_JIMU__sikaku="", "", wskakunin_kanri1_JIMU__sikaku)</f>
        <v/>
      </c>
      <c r="G577" s="18"/>
      <c r="H577" s="18"/>
    </row>
    <row r="578" spans="1:8" ht="15" customHeight="1">
      <c r="A578" s="47"/>
      <c r="B578" s="77" t="s">
        <v>455</v>
      </c>
      <c r="C578" s="15" t="s">
        <v>1154</v>
      </c>
      <c r="D578" s="141"/>
      <c r="E578" s="15" t="s">
        <v>1155</v>
      </c>
      <c r="F578" s="141" t="str">
        <f>IF(wskakunin_kanri1_JIMU_SIKAKU__label="","",wskakunin_kanri1_JIMU_SIKAKU__label)</f>
        <v/>
      </c>
      <c r="G578" s="18"/>
      <c r="H578" s="18"/>
    </row>
    <row r="579" spans="1:8" ht="15" customHeight="1">
      <c r="A579" s="47"/>
      <c r="B579" s="77" t="s">
        <v>458</v>
      </c>
      <c r="C579" s="15" t="s">
        <v>1156</v>
      </c>
      <c r="D579" s="141"/>
      <c r="E579" s="15" t="s">
        <v>1157</v>
      </c>
      <c r="F579" s="141" t="str">
        <f>IF(wskakunin_kanri1_JIMU_TOUROKU_KIKAN__label="","",wskakunin_kanri1_JIMU_TOUROKU_KIKAN__label)</f>
        <v/>
      </c>
      <c r="G579" s="18"/>
      <c r="H579" s="18"/>
    </row>
    <row r="580" spans="1:8" ht="15" customHeight="1">
      <c r="A580" s="47"/>
      <c r="B580" s="77" t="s">
        <v>461</v>
      </c>
      <c r="C580" s="15" t="s">
        <v>1158</v>
      </c>
      <c r="D580" s="141"/>
      <c r="E580" s="15" t="s">
        <v>1159</v>
      </c>
      <c r="F580" s="141" t="str">
        <f>IF(wskakunin_kanri1_JIMU_NO="","",wskakunin_kanri1_JIMU_NO)</f>
        <v/>
      </c>
      <c r="G580" s="18"/>
      <c r="H580" s="18"/>
    </row>
    <row r="581" spans="1:8" ht="15" customHeight="1">
      <c r="A581" s="60"/>
      <c r="B581" s="71" t="s">
        <v>464</v>
      </c>
      <c r="C581" s="15" t="s">
        <v>1160</v>
      </c>
      <c r="D581" s="141"/>
      <c r="E581" s="15" t="s">
        <v>1161</v>
      </c>
      <c r="F581" s="141" t="str">
        <f>IF(wskakunin_kanri1_JIMU_NAME="", "", wskakunin_kanri1_JIMU_NAME)</f>
        <v/>
      </c>
      <c r="G581" s="18"/>
      <c r="H581" s="18"/>
    </row>
    <row r="582" spans="1:8" ht="15" customHeight="1">
      <c r="A582" s="60"/>
      <c r="B582" s="71" t="s">
        <v>257</v>
      </c>
      <c r="C582" s="15" t="s">
        <v>1162</v>
      </c>
      <c r="D582" s="220"/>
      <c r="E582" s="15" t="s">
        <v>1163</v>
      </c>
      <c r="F582" s="141" t="str">
        <f>IF(wskakunin_kanri1_ZIP="", "", wskakunin_kanri1_ZIP)</f>
        <v/>
      </c>
      <c r="G582" s="18"/>
      <c r="H582" s="18"/>
    </row>
    <row r="583" spans="1:8" ht="15" customHeight="1">
      <c r="A583" s="60"/>
      <c r="B583" s="71"/>
      <c r="E583" s="15" t="s">
        <v>1164</v>
      </c>
      <c r="F583" s="141" t="str">
        <f>IF(wskakunin_kanri1_ZIP="","",LEFT(wskakunin_kanri1_ZIP,3)&amp;RIGHT(wskakunin_kanri1_ZIP,4))</f>
        <v/>
      </c>
      <c r="G583" s="18"/>
      <c r="H583" s="18"/>
    </row>
    <row r="584" spans="1:8" ht="15" customHeight="1">
      <c r="A584" s="60"/>
      <c r="B584" s="71" t="s">
        <v>469</v>
      </c>
      <c r="C584" s="15" t="s">
        <v>1165</v>
      </c>
      <c r="D584" s="141"/>
      <c r="E584" s="15" t="s">
        <v>1166</v>
      </c>
      <c r="F584" s="141" t="str">
        <f>IF(wskakunin_kanri1__address="", "", wskakunin_kanri1__address)</f>
        <v/>
      </c>
      <c r="G584" s="18"/>
      <c r="H584" s="18"/>
    </row>
    <row r="585" spans="1:8" ht="15" customHeight="1">
      <c r="A585" s="60"/>
      <c r="B585" s="71" t="s">
        <v>264</v>
      </c>
      <c r="C585" s="15" t="s">
        <v>1167</v>
      </c>
      <c r="D585" s="220"/>
      <c r="E585" s="15" t="s">
        <v>1168</v>
      </c>
      <c r="F585" s="141" t="str">
        <f>IF(wskakunin_kanri1_TEL="", "", wskakunin_kanri1_TEL)</f>
        <v/>
      </c>
      <c r="G585" s="18"/>
      <c r="H585" s="18"/>
    </row>
    <row r="586" spans="1:8" ht="15" customHeight="1">
      <c r="A586" s="60"/>
      <c r="B586" s="71" t="s">
        <v>637</v>
      </c>
      <c r="C586" s="15" t="s">
        <v>1169</v>
      </c>
      <c r="D586" s="220"/>
      <c r="E586" s="15" t="s">
        <v>1170</v>
      </c>
      <c r="F586" s="141" t="str">
        <f>IF(wskakunin_kanri1_DOC="","",wskakunin_kanri1_DOC)</f>
        <v/>
      </c>
      <c r="G586" s="18"/>
      <c r="H586" s="18"/>
    </row>
    <row r="587" spans="1:8" ht="15" customHeight="1">
      <c r="A587" s="47"/>
      <c r="B587" s="74"/>
      <c r="G587" s="18"/>
      <c r="H587" s="18"/>
    </row>
    <row r="588" spans="1:8" ht="15" customHeight="1">
      <c r="A588" s="48" t="s">
        <v>1171</v>
      </c>
      <c r="B588" s="47" t="s">
        <v>1172</v>
      </c>
      <c r="G588" s="18"/>
      <c r="H588" s="18"/>
    </row>
    <row r="589" spans="1:8" ht="15" customHeight="1">
      <c r="A589" s="28"/>
      <c r="B589" s="71" t="s">
        <v>435</v>
      </c>
      <c r="C589" s="15" t="s">
        <v>1173</v>
      </c>
      <c r="D589" s="141"/>
      <c r="E589" s="15" t="s">
        <v>1174</v>
      </c>
      <c r="F589" s="141" t="str">
        <f>IF(wskakunin_kanri2__sikaku="", "", wskakunin_kanri2__sikaku)</f>
        <v/>
      </c>
      <c r="G589" s="18"/>
      <c r="H589" s="18"/>
    </row>
    <row r="590" spans="1:8" ht="15" customHeight="1">
      <c r="A590" s="28"/>
      <c r="B590" s="71" t="s">
        <v>438</v>
      </c>
      <c r="C590" s="15" t="s">
        <v>1175</v>
      </c>
      <c r="D590" s="141"/>
      <c r="E590" s="15" t="s">
        <v>1176</v>
      </c>
      <c r="F590" s="141" t="str">
        <f>IF(wskakunin_kanri2_SIKAKU__label="", "", wskakunin_kanri2_SIKAKU__label)</f>
        <v/>
      </c>
      <c r="G590" s="18"/>
      <c r="H590" s="18"/>
    </row>
    <row r="591" spans="1:8" ht="15" customHeight="1">
      <c r="A591" s="35"/>
      <c r="B591" s="77" t="s">
        <v>441</v>
      </c>
      <c r="C591" s="15" t="s">
        <v>1177</v>
      </c>
      <c r="D591" s="141"/>
      <c r="E591" s="15" t="s">
        <v>1178</v>
      </c>
      <c r="F591" s="141" t="str">
        <f>IF(wskakunin_kanri2_TOUROKU_KIKAN__label="","",wskakunin_kanri2_TOUROKU_KIKAN__label)</f>
        <v/>
      </c>
      <c r="G591" s="18"/>
      <c r="H591" s="18"/>
    </row>
    <row r="592" spans="1:8" ht="15" customHeight="1">
      <c r="A592" s="35"/>
      <c r="B592" s="77" t="s">
        <v>444</v>
      </c>
      <c r="C592" s="15" t="s">
        <v>1179</v>
      </c>
      <c r="D592" s="220"/>
      <c r="E592" s="15" t="s">
        <v>1180</v>
      </c>
      <c r="F592" s="141" t="str">
        <f>IF(wskakunin_kanri2_KENTIKUSI_NO="","",wskakunin_kanri2_KENTIKUSI_NO)</f>
        <v/>
      </c>
      <c r="G592" s="18"/>
      <c r="H592" s="18"/>
    </row>
    <row r="593" spans="1:8" ht="15" customHeight="1">
      <c r="A593" s="60"/>
      <c r="B593" s="71" t="s">
        <v>247</v>
      </c>
      <c r="C593" s="15" t="s">
        <v>1181</v>
      </c>
      <c r="D593" s="141"/>
      <c r="E593" s="15" t="s">
        <v>1182</v>
      </c>
      <c r="F593" s="141" t="str">
        <f>IF(wskakunin_kanri2_NAME="", "", wskakunin_kanri2_NAME)</f>
        <v/>
      </c>
      <c r="G593" s="18"/>
      <c r="H593" s="18"/>
    </row>
    <row r="594" spans="1:8" ht="15" customHeight="1">
      <c r="A594" s="60"/>
      <c r="B594" s="71" t="s">
        <v>452</v>
      </c>
      <c r="C594" s="15" t="s">
        <v>1183</v>
      </c>
      <c r="D594" s="141"/>
      <c r="E594" s="15" t="s">
        <v>1184</v>
      </c>
      <c r="F594" s="141" t="str">
        <f>IF(wskakunin_kanri2_JIMU__sikaku="", "", wskakunin_kanri2_JIMU__sikaku)</f>
        <v/>
      </c>
      <c r="G594" s="18"/>
      <c r="H594" s="18"/>
    </row>
    <row r="595" spans="1:8" ht="15" customHeight="1">
      <c r="A595" s="47"/>
      <c r="B595" s="77" t="s">
        <v>455</v>
      </c>
      <c r="C595" s="15" t="s">
        <v>1185</v>
      </c>
      <c r="D595" s="141"/>
      <c r="E595" s="15" t="s">
        <v>1186</v>
      </c>
      <c r="F595" s="141" t="str">
        <f>IF(wskakunin_kanri2_JIMU_SIKAKU__label="","",wskakunin_kanri2_JIMU_SIKAKU__label)</f>
        <v/>
      </c>
      <c r="G595" s="18"/>
      <c r="H595" s="18"/>
    </row>
    <row r="596" spans="1:8" ht="15" customHeight="1">
      <c r="A596" s="47"/>
      <c r="B596" s="77" t="s">
        <v>458</v>
      </c>
      <c r="C596" s="15" t="s">
        <v>1187</v>
      </c>
      <c r="D596" s="141"/>
      <c r="E596" s="15" t="s">
        <v>1188</v>
      </c>
      <c r="F596" s="141" t="str">
        <f>IF(wskakunin_kanri2_JIMU_TOUROKU_KIKAN__label="","",wskakunin_kanri2_JIMU_TOUROKU_KIKAN__label)</f>
        <v/>
      </c>
      <c r="G596" s="18"/>
      <c r="H596" s="18"/>
    </row>
    <row r="597" spans="1:8" ht="15" customHeight="1">
      <c r="A597" s="47"/>
      <c r="B597" s="77" t="s">
        <v>461</v>
      </c>
      <c r="C597" s="15" t="s">
        <v>1189</v>
      </c>
      <c r="D597" s="220"/>
      <c r="E597" s="15" t="s">
        <v>1190</v>
      </c>
      <c r="F597" s="141" t="str">
        <f>IF(wskakunin_kanri2_JIMU_NO="","",wskakunin_kanri2_JIMU_NO)</f>
        <v/>
      </c>
      <c r="G597" s="18"/>
      <c r="H597" s="18"/>
    </row>
    <row r="598" spans="1:8" ht="15" customHeight="1">
      <c r="A598" s="60"/>
      <c r="B598" s="71" t="s">
        <v>464</v>
      </c>
      <c r="C598" s="15" t="s">
        <v>1191</v>
      </c>
      <c r="D598" s="141"/>
      <c r="E598" s="15" t="s">
        <v>1192</v>
      </c>
      <c r="F598" s="141" t="str">
        <f>IF(wskakunin_kanri2_JIMU_NAME="", "", wskakunin_kanri2_JIMU_NAME)</f>
        <v/>
      </c>
      <c r="G598" s="18"/>
      <c r="H598" s="18"/>
    </row>
    <row r="599" spans="1:8" ht="15" customHeight="1">
      <c r="A599" s="60"/>
      <c r="B599" s="71" t="s">
        <v>257</v>
      </c>
      <c r="C599" s="15" t="s">
        <v>1193</v>
      </c>
      <c r="D599" s="220"/>
      <c r="E599" s="15" t="s">
        <v>1194</v>
      </c>
      <c r="F599" s="141" t="str">
        <f>IF(wskakunin_kanri2_ZIP="", "", wskakunin_kanri2_ZIP)</f>
        <v/>
      </c>
      <c r="G599" s="18"/>
      <c r="H599" s="18"/>
    </row>
    <row r="600" spans="1:8" ht="15" customHeight="1">
      <c r="A600" s="60"/>
      <c r="B600" s="71" t="s">
        <v>469</v>
      </c>
      <c r="C600" s="15" t="s">
        <v>1195</v>
      </c>
      <c r="D600" s="141"/>
      <c r="E600" s="15" t="s">
        <v>1196</v>
      </c>
      <c r="F600" s="141" t="str">
        <f>IF(wskakunin_kanri2__address="", "", wskakunin_kanri2__address)</f>
        <v/>
      </c>
      <c r="G600" s="18"/>
      <c r="H600" s="18"/>
    </row>
    <row r="601" spans="1:8" ht="15" customHeight="1">
      <c r="A601" s="60"/>
      <c r="B601" s="71" t="s">
        <v>264</v>
      </c>
      <c r="C601" s="15" t="s">
        <v>1197</v>
      </c>
      <c r="D601" s="220"/>
      <c r="E601" s="15" t="s">
        <v>1198</v>
      </c>
      <c r="F601" s="141" t="str">
        <f>IF(wskakunin_kanri2_TEL="", "", wskakunin_kanri2_TEL)</f>
        <v/>
      </c>
      <c r="G601" s="18"/>
      <c r="H601" s="18"/>
    </row>
    <row r="602" spans="1:8" ht="15" customHeight="1">
      <c r="A602" s="60"/>
      <c r="B602" s="71" t="s">
        <v>637</v>
      </c>
      <c r="C602" s="15" t="s">
        <v>1199</v>
      </c>
      <c r="D602" s="220"/>
      <c r="E602" s="15" t="s">
        <v>1200</v>
      </c>
      <c r="F602" s="141" t="str">
        <f>IF(wskakunin_kanri2_DOC="","",wskakunin_kanri2_DOC)</f>
        <v/>
      </c>
      <c r="G602" s="18"/>
      <c r="H602" s="18"/>
    </row>
    <row r="603" spans="1:8" ht="15" customHeight="1">
      <c r="A603" s="102"/>
      <c r="B603" s="74"/>
      <c r="G603" s="18"/>
      <c r="H603" s="18"/>
    </row>
    <row r="604" spans="1:8" ht="15" customHeight="1">
      <c r="A604" s="48" t="s">
        <v>1201</v>
      </c>
      <c r="B604" s="47" t="s">
        <v>1172</v>
      </c>
      <c r="G604" s="18"/>
      <c r="H604" s="18"/>
    </row>
    <row r="605" spans="1:8" ht="15" customHeight="1">
      <c r="A605" s="28"/>
      <c r="B605" s="71" t="s">
        <v>435</v>
      </c>
      <c r="C605" s="15" t="s">
        <v>1202</v>
      </c>
      <c r="D605" s="141"/>
      <c r="E605" s="15" t="s">
        <v>1203</v>
      </c>
      <c r="F605" s="141" t="str">
        <f>IF(wskakunin_kanri3__sikaku="", "", wskakunin_kanri3__sikaku)</f>
        <v/>
      </c>
      <c r="G605" s="18"/>
      <c r="H605" s="18"/>
    </row>
    <row r="606" spans="1:8" ht="15" customHeight="1">
      <c r="A606" s="28"/>
      <c r="B606" s="71" t="s">
        <v>438</v>
      </c>
      <c r="C606" s="15" t="s">
        <v>1204</v>
      </c>
      <c r="D606" s="141"/>
      <c r="E606" s="15" t="s">
        <v>1205</v>
      </c>
      <c r="F606" s="141" t="str">
        <f>IF(wskakunin_kanri3_SIKAKU__label="", "", wskakunin_kanri3_SIKAKU__label)</f>
        <v/>
      </c>
      <c r="G606" s="18"/>
      <c r="H606" s="18"/>
    </row>
    <row r="607" spans="1:8" ht="15" customHeight="1">
      <c r="A607" s="35"/>
      <c r="B607" s="77" t="s">
        <v>441</v>
      </c>
      <c r="C607" s="15" t="s">
        <v>1206</v>
      </c>
      <c r="D607" s="141"/>
      <c r="E607" s="15" t="s">
        <v>1207</v>
      </c>
      <c r="F607" s="141" t="str">
        <f>IF(wskakunin_kanri3_TOUROKU_KIKAN__label="","",wskakunin_kanri3_TOUROKU_KIKAN__label)</f>
        <v/>
      </c>
      <c r="G607" s="18"/>
      <c r="H607" s="18"/>
    </row>
    <row r="608" spans="1:8" ht="15" customHeight="1">
      <c r="A608" s="35"/>
      <c r="B608" s="77" t="s">
        <v>444</v>
      </c>
      <c r="C608" s="15" t="s">
        <v>1208</v>
      </c>
      <c r="D608" s="220"/>
      <c r="E608" s="15" t="s">
        <v>1209</v>
      </c>
      <c r="F608" s="141" t="str">
        <f>IF(wskakunin_kanri3_KENTIKUSI_NO="","",wskakunin_kanri3_KENTIKUSI_NO)</f>
        <v/>
      </c>
      <c r="G608" s="18"/>
      <c r="H608" s="18"/>
    </row>
    <row r="609" spans="1:8" ht="15" customHeight="1">
      <c r="A609" s="60"/>
      <c r="B609" s="71" t="s">
        <v>247</v>
      </c>
      <c r="C609" s="15" t="s">
        <v>1210</v>
      </c>
      <c r="D609" s="141"/>
      <c r="E609" s="15" t="s">
        <v>1211</v>
      </c>
      <c r="F609" s="141" t="str">
        <f>IF(wskakunin_kanri3_NAME="", "", wskakunin_kanri3_NAME)</f>
        <v/>
      </c>
      <c r="G609" s="18"/>
      <c r="H609" s="18"/>
    </row>
    <row r="610" spans="1:8" ht="15" customHeight="1">
      <c r="A610" s="60"/>
      <c r="B610" s="71" t="s">
        <v>452</v>
      </c>
      <c r="C610" s="15" t="s">
        <v>1212</v>
      </c>
      <c r="D610" s="141"/>
      <c r="E610" s="15" t="s">
        <v>1213</v>
      </c>
      <c r="F610" s="141" t="str">
        <f>IF(wskakunin_kanri3_JIMU__sikaku="", "", wskakunin_kanri3_JIMU__sikaku)</f>
        <v/>
      </c>
      <c r="G610" s="18"/>
      <c r="H610" s="18"/>
    </row>
    <row r="611" spans="1:8" ht="15" customHeight="1">
      <c r="A611" s="47"/>
      <c r="B611" s="77" t="s">
        <v>455</v>
      </c>
      <c r="C611" s="15" t="s">
        <v>1214</v>
      </c>
      <c r="D611" s="141"/>
      <c r="E611" s="15" t="s">
        <v>1215</v>
      </c>
      <c r="F611" s="141" t="str">
        <f>IF(wskakunin_kanri3_JIMU_SIKAKU__label="","",wskakunin_kanri3_JIMU_SIKAKU__label)</f>
        <v/>
      </c>
      <c r="G611" s="18"/>
      <c r="H611" s="18"/>
    </row>
    <row r="612" spans="1:8" ht="15" customHeight="1">
      <c r="A612" s="47"/>
      <c r="B612" s="77" t="s">
        <v>458</v>
      </c>
      <c r="C612" s="15" t="s">
        <v>1216</v>
      </c>
      <c r="D612" s="141"/>
      <c r="E612" s="15" t="s">
        <v>1217</v>
      </c>
      <c r="F612" s="141" t="str">
        <f>IF(wskakunin_kanri3_JIMU_TOUROKU_KIKAN__label="","",wskakunin_kanri3_JIMU_TOUROKU_KIKAN__label)</f>
        <v/>
      </c>
      <c r="G612" s="18"/>
      <c r="H612" s="18"/>
    </row>
    <row r="613" spans="1:8" ht="15" customHeight="1">
      <c r="A613" s="47"/>
      <c r="B613" s="77" t="s">
        <v>461</v>
      </c>
      <c r="C613" s="15" t="s">
        <v>1218</v>
      </c>
      <c r="D613" s="220"/>
      <c r="E613" s="15" t="s">
        <v>1219</v>
      </c>
      <c r="F613" s="141" t="str">
        <f>IF(wskakunin_kanri3_JIMU_NO="","",wskakunin_kanri3_JIMU_NO)</f>
        <v/>
      </c>
      <c r="G613" s="18"/>
      <c r="H613" s="18"/>
    </row>
    <row r="614" spans="1:8" ht="15" customHeight="1">
      <c r="A614" s="60"/>
      <c r="B614" s="71" t="s">
        <v>464</v>
      </c>
      <c r="C614" s="15" t="s">
        <v>1220</v>
      </c>
      <c r="D614" s="141"/>
      <c r="E614" s="15" t="s">
        <v>1221</v>
      </c>
      <c r="F614" s="141" t="str">
        <f>IF(wskakunin_kanri3_JIMU_NAME="", "", wskakunin_kanri3_JIMU_NAME)</f>
        <v/>
      </c>
      <c r="G614" s="18"/>
      <c r="H614" s="18"/>
    </row>
    <row r="615" spans="1:8" ht="15" customHeight="1">
      <c r="A615" s="60"/>
      <c r="B615" s="71" t="s">
        <v>257</v>
      </c>
      <c r="C615" s="15" t="s">
        <v>1222</v>
      </c>
      <c r="D615" s="220"/>
      <c r="E615" s="15" t="s">
        <v>1223</v>
      </c>
      <c r="F615" s="141" t="str">
        <f>IF(wskakunin_kanri3_ZIP="", "", wskakunin_kanri3_ZIP)</f>
        <v/>
      </c>
      <c r="G615" s="18"/>
      <c r="H615" s="18"/>
    </row>
    <row r="616" spans="1:8" ht="15" customHeight="1">
      <c r="A616" s="60"/>
      <c r="B616" s="71" t="s">
        <v>469</v>
      </c>
      <c r="C616" s="15" t="s">
        <v>1224</v>
      </c>
      <c r="D616" s="141"/>
      <c r="E616" s="15" t="s">
        <v>1225</v>
      </c>
      <c r="F616" s="141" t="str">
        <f>IF(wskakunin_kanri3__address="", "", wskakunin_kanri3__address)</f>
        <v/>
      </c>
      <c r="G616" s="18"/>
      <c r="H616" s="18"/>
    </row>
    <row r="617" spans="1:8" ht="15" customHeight="1">
      <c r="A617" s="60"/>
      <c r="B617" s="71" t="s">
        <v>264</v>
      </c>
      <c r="C617" s="15" t="s">
        <v>1226</v>
      </c>
      <c r="D617" s="220"/>
      <c r="E617" s="15" t="s">
        <v>1227</v>
      </c>
      <c r="F617" s="141" t="str">
        <f>IF(wskakunin_kanri3_TEL="", "", wskakunin_kanri3_TEL)</f>
        <v/>
      </c>
      <c r="G617" s="18"/>
      <c r="H617" s="18"/>
    </row>
    <row r="618" spans="1:8" ht="15" customHeight="1">
      <c r="A618" s="60"/>
      <c r="B618" s="71" t="s">
        <v>637</v>
      </c>
      <c r="C618" s="15" t="s">
        <v>1228</v>
      </c>
      <c r="D618" s="220"/>
      <c r="E618" s="15" t="s">
        <v>1229</v>
      </c>
      <c r="F618" s="141" t="str">
        <f>IF(wskakunin_kanri3_DOC="","",wskakunin_kanri3_DOC)</f>
        <v/>
      </c>
      <c r="G618" s="18"/>
      <c r="H618" s="18"/>
    </row>
    <row r="619" spans="1:8" ht="15" customHeight="1">
      <c r="A619" s="47"/>
      <c r="B619" s="74"/>
      <c r="G619" s="18"/>
      <c r="H619" s="18"/>
    </row>
    <row r="620" spans="1:8" ht="15" customHeight="1">
      <c r="A620" s="48" t="s">
        <v>1230</v>
      </c>
      <c r="B620" s="47" t="s">
        <v>1172</v>
      </c>
      <c r="G620" s="18"/>
      <c r="H620" s="18"/>
    </row>
    <row r="621" spans="1:8" ht="15" customHeight="1">
      <c r="A621" s="28"/>
      <c r="B621" s="71" t="s">
        <v>435</v>
      </c>
      <c r="C621" s="15" t="s">
        <v>1231</v>
      </c>
      <c r="D621" s="141"/>
      <c r="E621" s="15" t="s">
        <v>1232</v>
      </c>
      <c r="F621" s="141" t="str">
        <f>IF(wskakunin_kanri4__sikaku="", "", wskakunin_kanri4__sikaku)</f>
        <v/>
      </c>
      <c r="G621" s="18"/>
      <c r="H621" s="18"/>
    </row>
    <row r="622" spans="1:8" ht="15" customHeight="1">
      <c r="A622" s="28"/>
      <c r="B622" s="71" t="s">
        <v>438</v>
      </c>
      <c r="C622" s="15" t="s">
        <v>1233</v>
      </c>
      <c r="D622" s="141"/>
      <c r="E622" s="15" t="s">
        <v>1234</v>
      </c>
      <c r="F622" s="141" t="str">
        <f>IF(wskakunin_kanri4_SIKAKU__label="", "", wskakunin_kanri4_SIKAKU__label)</f>
        <v/>
      </c>
      <c r="G622" s="18"/>
      <c r="H622" s="18"/>
    </row>
    <row r="623" spans="1:8" ht="15" customHeight="1">
      <c r="A623" s="35"/>
      <c r="B623" s="77" t="s">
        <v>441</v>
      </c>
      <c r="C623" s="15" t="s">
        <v>1235</v>
      </c>
      <c r="D623" s="141"/>
      <c r="E623" s="15" t="s">
        <v>1236</v>
      </c>
      <c r="F623" s="141" t="str">
        <f>IF(wskakunin_kanri4_TOUROKU_KIKAN__label="","",wskakunin_kanri4_TOUROKU_KIKAN__label)</f>
        <v/>
      </c>
      <c r="G623" s="18"/>
      <c r="H623" s="18"/>
    </row>
    <row r="624" spans="1:8" ht="15" customHeight="1">
      <c r="A624" s="35"/>
      <c r="B624" s="77" t="s">
        <v>444</v>
      </c>
      <c r="C624" s="15" t="s">
        <v>1237</v>
      </c>
      <c r="D624" s="220"/>
      <c r="E624" s="15" t="s">
        <v>1238</v>
      </c>
      <c r="F624" s="141" t="str">
        <f>IF(wskakunin_kanri4_KENTIKUSI_NO="","",wskakunin_kanri4_KENTIKUSI_NO)</f>
        <v/>
      </c>
      <c r="G624" s="18"/>
      <c r="H624" s="18"/>
    </row>
    <row r="625" spans="1:8" ht="15" customHeight="1">
      <c r="A625" s="60"/>
      <c r="B625" s="71" t="s">
        <v>247</v>
      </c>
      <c r="C625" s="15" t="s">
        <v>1239</v>
      </c>
      <c r="D625" s="141"/>
      <c r="E625" s="15" t="s">
        <v>1240</v>
      </c>
      <c r="F625" s="141" t="str">
        <f>IF(wskakunin_kanri4_NAME="", "", wskakunin_kanri4_NAME)</f>
        <v/>
      </c>
      <c r="G625" s="18"/>
      <c r="H625" s="18"/>
    </row>
    <row r="626" spans="1:8" ht="15" customHeight="1">
      <c r="A626" s="60"/>
      <c r="B626" s="71" t="s">
        <v>452</v>
      </c>
      <c r="C626" s="15" t="s">
        <v>1241</v>
      </c>
      <c r="D626" s="141"/>
      <c r="E626" s="15" t="s">
        <v>1242</v>
      </c>
      <c r="F626" s="141" t="str">
        <f>IF(wskakunin_kanri4_JIMU__sikaku="", "", wskakunin_kanri4_JIMU__sikaku)</f>
        <v/>
      </c>
      <c r="G626" s="18"/>
      <c r="H626" s="18"/>
    </row>
    <row r="627" spans="1:8" ht="15" customHeight="1">
      <c r="A627" s="47"/>
      <c r="B627" s="77" t="s">
        <v>455</v>
      </c>
      <c r="C627" s="15" t="s">
        <v>1243</v>
      </c>
      <c r="D627" s="141"/>
      <c r="E627" s="15" t="s">
        <v>1244</v>
      </c>
      <c r="F627" s="141" t="str">
        <f>IF(wskakunin_kanri4_JIMU_SIKAKU__label="","",wskakunin_kanri4_JIMU_SIKAKU__label)</f>
        <v/>
      </c>
      <c r="G627" s="18"/>
      <c r="H627" s="18"/>
    </row>
    <row r="628" spans="1:8" ht="15" customHeight="1">
      <c r="A628" s="47"/>
      <c r="B628" s="77" t="s">
        <v>458</v>
      </c>
      <c r="C628" s="15" t="s">
        <v>1245</v>
      </c>
      <c r="D628" s="141"/>
      <c r="E628" s="15" t="s">
        <v>1246</v>
      </c>
      <c r="F628" s="141" t="str">
        <f>IF(wskakunin_kanri4_JIMU_TOUROKU_KIKAN__label="","",wskakunin_kanri4_JIMU_TOUROKU_KIKAN__label)</f>
        <v/>
      </c>
      <c r="G628" s="18"/>
      <c r="H628" s="18"/>
    </row>
    <row r="629" spans="1:8" ht="15" customHeight="1">
      <c r="A629" s="47"/>
      <c r="B629" s="77" t="s">
        <v>461</v>
      </c>
      <c r="C629" s="15" t="s">
        <v>1247</v>
      </c>
      <c r="D629" s="220"/>
      <c r="E629" s="15" t="s">
        <v>1248</v>
      </c>
      <c r="F629" s="141" t="str">
        <f>IF(wskakunin_kanri4_JIMU_NO="","",wskakunin_kanri4_JIMU_NO)</f>
        <v/>
      </c>
      <c r="G629" s="18"/>
      <c r="H629" s="18"/>
    </row>
    <row r="630" spans="1:8" ht="15" customHeight="1">
      <c r="A630" s="60"/>
      <c r="B630" s="71" t="s">
        <v>464</v>
      </c>
      <c r="C630" s="15" t="s">
        <v>1249</v>
      </c>
      <c r="D630" s="141"/>
      <c r="E630" s="15" t="s">
        <v>1250</v>
      </c>
      <c r="F630" s="141" t="str">
        <f>IF(wskakunin_kanri4_JIMU_NAME="", "", wskakunin_kanri4_JIMU_NAME)</f>
        <v/>
      </c>
      <c r="G630" s="18"/>
      <c r="H630" s="18"/>
    </row>
    <row r="631" spans="1:8" ht="15" customHeight="1">
      <c r="A631" s="60"/>
      <c r="B631" s="71" t="s">
        <v>257</v>
      </c>
      <c r="C631" s="15" t="s">
        <v>1251</v>
      </c>
      <c r="D631" s="220"/>
      <c r="E631" s="15" t="s">
        <v>1252</v>
      </c>
      <c r="F631" s="141" t="str">
        <f>IF(wskakunin_kanri4_ZIP="", "", wskakunin_kanri4_ZIP)</f>
        <v/>
      </c>
      <c r="G631" s="18"/>
      <c r="H631" s="18"/>
    </row>
    <row r="632" spans="1:8" ht="15" customHeight="1">
      <c r="A632" s="60"/>
      <c r="B632" s="71" t="s">
        <v>469</v>
      </c>
      <c r="C632" s="15" t="s">
        <v>1253</v>
      </c>
      <c r="D632" s="141"/>
      <c r="E632" s="15" t="s">
        <v>1254</v>
      </c>
      <c r="F632" s="141" t="str">
        <f>IF(wskakunin_kanri4__address="", "", wskakunin_kanri4__address)</f>
        <v/>
      </c>
      <c r="G632" s="18"/>
      <c r="H632" s="18"/>
    </row>
    <row r="633" spans="1:8" ht="15" customHeight="1">
      <c r="A633" s="60"/>
      <c r="B633" s="71" t="s">
        <v>264</v>
      </c>
      <c r="C633" s="15" t="s">
        <v>1255</v>
      </c>
      <c r="D633" s="220"/>
      <c r="E633" s="15" t="s">
        <v>1256</v>
      </c>
      <c r="F633" s="141" t="str">
        <f>IF(wskakunin_kanri4_TEL="", "", wskakunin_kanri4_TEL)</f>
        <v/>
      </c>
      <c r="G633" s="18"/>
      <c r="H633" s="18"/>
    </row>
    <row r="634" spans="1:8" ht="15" customHeight="1">
      <c r="A634" s="60"/>
      <c r="B634" s="71" t="s">
        <v>637</v>
      </c>
      <c r="C634" s="15" t="s">
        <v>1257</v>
      </c>
      <c r="D634" s="220"/>
      <c r="E634" s="15" t="s">
        <v>1258</v>
      </c>
      <c r="F634" s="141" t="str">
        <f>IF(wskakunin_kanri4_DOC="","",wskakunin_kanri4_DOC)</f>
        <v/>
      </c>
      <c r="G634" s="18"/>
      <c r="H634" s="18"/>
    </row>
    <row r="635" spans="1:8" ht="15" customHeight="1">
      <c r="A635" s="47"/>
      <c r="B635" s="75"/>
      <c r="G635" s="18"/>
      <c r="H635" s="18"/>
    </row>
    <row r="636" spans="1:8" ht="15" customHeight="1">
      <c r="A636" s="48" t="s">
        <v>1259</v>
      </c>
      <c r="B636" s="47" t="s">
        <v>1172</v>
      </c>
      <c r="G636" s="18"/>
      <c r="H636" s="18"/>
    </row>
    <row r="637" spans="1:8" ht="15" customHeight="1">
      <c r="A637" s="28"/>
      <c r="B637" s="71" t="s">
        <v>435</v>
      </c>
      <c r="C637" s="15" t="s">
        <v>1260</v>
      </c>
      <c r="D637" s="141"/>
      <c r="E637" s="15" t="s">
        <v>1261</v>
      </c>
      <c r="F637" s="141" t="str">
        <f>IF(wskakunin_kanri5__sikaku="", "", wskakunin_kanri5__sikaku)</f>
        <v/>
      </c>
      <c r="H637" s="18"/>
    </row>
    <row r="638" spans="1:8" ht="15" customHeight="1">
      <c r="A638" s="28"/>
      <c r="B638" s="71" t="s">
        <v>438</v>
      </c>
      <c r="C638" s="15" t="s">
        <v>1262</v>
      </c>
      <c r="D638" s="141"/>
      <c r="E638" s="15" t="s">
        <v>1263</v>
      </c>
      <c r="F638" s="141" t="str">
        <f>IF(wskakunin_kanri5_SIKAKU__label="", "", wskakunin_kanri5_SIKAKU__label)</f>
        <v/>
      </c>
      <c r="H638" s="18"/>
    </row>
    <row r="639" spans="1:8" ht="15" customHeight="1">
      <c r="A639" s="35"/>
      <c r="B639" s="77" t="s">
        <v>441</v>
      </c>
      <c r="C639" s="15" t="s">
        <v>1264</v>
      </c>
      <c r="D639" s="141"/>
      <c r="E639" s="15" t="s">
        <v>1265</v>
      </c>
      <c r="F639" s="141" t="str">
        <f>IF(wskakunin_kanri5_TOUROKU_KIKAN__label="","",wskakunin_kanri5_TOUROKU_KIKAN__label)</f>
        <v/>
      </c>
      <c r="H639" s="18"/>
    </row>
    <row r="640" spans="1:8" ht="15" customHeight="1">
      <c r="A640" s="35"/>
      <c r="B640" s="77" t="s">
        <v>444</v>
      </c>
      <c r="C640" s="15" t="s">
        <v>1266</v>
      </c>
      <c r="D640" s="220"/>
      <c r="E640" s="15" t="s">
        <v>1267</v>
      </c>
      <c r="F640" s="141" t="str">
        <f>IF(wskakunin_kanri5_KENTIKUSI_NO="","",wskakunin_kanri5_KENTIKUSI_NO)</f>
        <v/>
      </c>
      <c r="H640" s="18"/>
    </row>
    <row r="641" spans="1:8" ht="15" customHeight="1">
      <c r="A641" s="60"/>
      <c r="B641" s="71" t="s">
        <v>247</v>
      </c>
      <c r="C641" s="15" t="s">
        <v>1268</v>
      </c>
      <c r="D641" s="141"/>
      <c r="E641" s="15" t="s">
        <v>1269</v>
      </c>
      <c r="F641" s="141" t="str">
        <f>IF(wskakunin_kanri5_NAME="", "", wskakunin_kanri5_NAME)</f>
        <v/>
      </c>
      <c r="H641" s="18"/>
    </row>
    <row r="642" spans="1:8" ht="15" customHeight="1">
      <c r="A642" s="60"/>
      <c r="B642" s="71" t="s">
        <v>452</v>
      </c>
      <c r="C642" s="15" t="s">
        <v>1270</v>
      </c>
      <c r="D642" s="141"/>
      <c r="E642" s="15" t="s">
        <v>1271</v>
      </c>
      <c r="F642" s="141" t="str">
        <f>IF(wskakunin_kanri5_JIMU__sikaku="", "", wskakunin_kanri5_JIMU__sikaku)</f>
        <v/>
      </c>
      <c r="H642" s="18"/>
    </row>
    <row r="643" spans="1:8" ht="15" customHeight="1">
      <c r="A643" s="47"/>
      <c r="B643" s="77" t="s">
        <v>455</v>
      </c>
      <c r="C643" s="15" t="s">
        <v>1272</v>
      </c>
      <c r="D643" s="141"/>
      <c r="E643" s="15" t="s">
        <v>1273</v>
      </c>
      <c r="F643" s="141" t="str">
        <f>IF(wskakunin_kanri5_JIMU_SIKAKU__label="","",wskakunin_kanri5_JIMU_SIKAKU__label)</f>
        <v/>
      </c>
      <c r="H643" s="18"/>
    </row>
    <row r="644" spans="1:8" ht="15" customHeight="1">
      <c r="A644" s="47"/>
      <c r="B644" s="77" t="s">
        <v>458</v>
      </c>
      <c r="C644" s="15" t="s">
        <v>1274</v>
      </c>
      <c r="D644" s="141"/>
      <c r="E644" s="15" t="s">
        <v>1275</v>
      </c>
      <c r="F644" s="141" t="str">
        <f>IF(wskakunin_kanri5_JIMU_TOUROKU_KIKAN__label="","",wskakunin_kanri5_JIMU_TOUROKU_KIKAN__label)</f>
        <v/>
      </c>
      <c r="H644" s="18"/>
    </row>
    <row r="645" spans="1:8" ht="15" customHeight="1">
      <c r="A645" s="47"/>
      <c r="B645" s="77" t="s">
        <v>461</v>
      </c>
      <c r="C645" s="15" t="s">
        <v>1276</v>
      </c>
      <c r="D645" s="220"/>
      <c r="E645" s="15" t="s">
        <v>1277</v>
      </c>
      <c r="F645" s="141" t="str">
        <f>IF(wskakunin_kanri5_JIMU_NO="","",wskakunin_kanri5_JIMU_NO)</f>
        <v/>
      </c>
      <c r="H645" s="18"/>
    </row>
    <row r="646" spans="1:8" ht="15" customHeight="1">
      <c r="A646" s="60"/>
      <c r="B646" s="71" t="s">
        <v>464</v>
      </c>
      <c r="C646" s="15" t="s">
        <v>1278</v>
      </c>
      <c r="D646" s="141"/>
      <c r="E646" s="15" t="s">
        <v>1279</v>
      </c>
      <c r="F646" s="141" t="str">
        <f>IF(wskakunin_kanri5_JIMU_NAME="", "", wskakunin_kanri5_JIMU_NAME)</f>
        <v/>
      </c>
      <c r="H646" s="18"/>
    </row>
    <row r="647" spans="1:8" ht="15" customHeight="1">
      <c r="A647" s="60"/>
      <c r="B647" s="71" t="s">
        <v>257</v>
      </c>
      <c r="C647" s="15" t="s">
        <v>1280</v>
      </c>
      <c r="D647" s="220"/>
      <c r="E647" s="15" t="s">
        <v>1281</v>
      </c>
      <c r="F647" s="141" t="str">
        <f>IF(wskakunin_kanri5_ZIP="", "", wskakunin_kanri5_ZIP)</f>
        <v/>
      </c>
      <c r="H647" s="18"/>
    </row>
    <row r="648" spans="1:8" ht="15" customHeight="1">
      <c r="A648" s="60"/>
      <c r="B648" s="71" t="s">
        <v>469</v>
      </c>
      <c r="C648" s="15" t="s">
        <v>1282</v>
      </c>
      <c r="D648" s="141"/>
      <c r="E648" s="15" t="s">
        <v>1283</v>
      </c>
      <c r="F648" s="141" t="str">
        <f>IF(wskakunin_kanri5__address="", "", wskakunin_kanri5__address)</f>
        <v/>
      </c>
      <c r="H648" s="18"/>
    </row>
    <row r="649" spans="1:8" ht="15" customHeight="1">
      <c r="A649" s="60"/>
      <c r="B649" s="71" t="s">
        <v>264</v>
      </c>
      <c r="C649" s="15" t="s">
        <v>1284</v>
      </c>
      <c r="D649" s="220"/>
      <c r="E649" s="15" t="s">
        <v>1285</v>
      </c>
      <c r="F649" s="141" t="str">
        <f>IF(wskakunin_kanri5_TEL="", "", wskakunin_kanri5_TEL)</f>
        <v/>
      </c>
      <c r="H649" s="18"/>
    </row>
    <row r="650" spans="1:8" ht="15" customHeight="1">
      <c r="A650" s="60"/>
      <c r="B650" s="71" t="s">
        <v>637</v>
      </c>
      <c r="C650" s="15" t="s">
        <v>1286</v>
      </c>
      <c r="D650" s="220"/>
      <c r="E650" s="15" t="s">
        <v>1287</v>
      </c>
      <c r="F650" s="141" t="str">
        <f>IF(wskakunin_kanri5_DOC="","",wskakunin_kanri5_DOC)</f>
        <v/>
      </c>
      <c r="H650" s="18"/>
    </row>
    <row r="651" spans="1:8" ht="15" customHeight="1">
      <c r="A651" s="47"/>
      <c r="B651" s="74"/>
      <c r="H651" s="18"/>
    </row>
    <row r="652" spans="1:8" ht="15" customHeight="1">
      <c r="A652" s="48" t="s">
        <v>1288</v>
      </c>
      <c r="B652" s="47" t="s">
        <v>1172</v>
      </c>
      <c r="H652" s="18"/>
    </row>
    <row r="653" spans="1:8" ht="15" customHeight="1">
      <c r="A653" s="28"/>
      <c r="B653" s="71" t="s">
        <v>435</v>
      </c>
      <c r="C653" s="15" t="s">
        <v>1289</v>
      </c>
      <c r="D653" s="141"/>
      <c r="E653" s="15" t="s">
        <v>1290</v>
      </c>
      <c r="F653" s="141" t="str">
        <f>IF(wskakunin_kanri6__sikaku="", "", wskakunin_kanri6__sikaku)</f>
        <v/>
      </c>
      <c r="H653" s="18"/>
    </row>
    <row r="654" spans="1:8" ht="15" customHeight="1">
      <c r="A654" s="28"/>
      <c r="B654" s="71" t="s">
        <v>438</v>
      </c>
      <c r="C654" s="15" t="s">
        <v>1291</v>
      </c>
      <c r="D654" s="141"/>
      <c r="E654" s="15" t="s">
        <v>1292</v>
      </c>
      <c r="F654" s="141" t="str">
        <f>IF(wskakunin_kanri6_SIKAKU__label="", "", wskakunin_kanri6_SIKAKU__label)</f>
        <v/>
      </c>
      <c r="H654" s="18"/>
    </row>
    <row r="655" spans="1:8" ht="15" customHeight="1">
      <c r="A655" s="35"/>
      <c r="B655" s="77" t="s">
        <v>441</v>
      </c>
      <c r="C655" s="15" t="s">
        <v>1293</v>
      </c>
      <c r="D655" s="141"/>
      <c r="E655" s="15" t="s">
        <v>1294</v>
      </c>
      <c r="F655" s="141" t="str">
        <f>IF(wskakunin_kanri6_TOUROKU_KIKAN__label="","",wskakunin_kanri6_TOUROKU_KIKAN__label)</f>
        <v/>
      </c>
      <c r="H655" s="18"/>
    </row>
    <row r="656" spans="1:8" ht="15" customHeight="1">
      <c r="A656" s="35"/>
      <c r="B656" s="77" t="s">
        <v>444</v>
      </c>
      <c r="C656" s="15" t="s">
        <v>1295</v>
      </c>
      <c r="D656" s="220"/>
      <c r="E656" s="15" t="s">
        <v>1296</v>
      </c>
      <c r="F656" s="141" t="str">
        <f>IF(wskakunin_kanri6_KENTIKUSI_NO="","",wskakunin_kanri6_KENTIKUSI_NO)</f>
        <v/>
      </c>
      <c r="H656" s="18"/>
    </row>
    <row r="657" spans="1:8" ht="15" customHeight="1">
      <c r="A657" s="60"/>
      <c r="B657" s="71" t="s">
        <v>247</v>
      </c>
      <c r="C657" s="15" t="s">
        <v>1297</v>
      </c>
      <c r="D657" s="141"/>
      <c r="E657" s="15" t="s">
        <v>1298</v>
      </c>
      <c r="F657" s="141" t="str">
        <f>IF(wskakunin_kanri6_NAME="", "", wskakunin_kanri6_NAME)</f>
        <v/>
      </c>
      <c r="H657" s="18"/>
    </row>
    <row r="658" spans="1:8" ht="15" customHeight="1">
      <c r="A658" s="60"/>
      <c r="B658" s="71" t="s">
        <v>452</v>
      </c>
      <c r="C658" s="15" t="s">
        <v>1299</v>
      </c>
      <c r="D658" s="141"/>
      <c r="E658" s="15" t="s">
        <v>1300</v>
      </c>
      <c r="F658" s="141" t="str">
        <f>IF(wskakunin_kanri6_JIMU__sikaku="", "", wskakunin_kanri6_JIMU__sikaku)</f>
        <v/>
      </c>
      <c r="H658" s="18"/>
    </row>
    <row r="659" spans="1:8" ht="15" customHeight="1">
      <c r="A659" s="47"/>
      <c r="B659" s="77" t="s">
        <v>455</v>
      </c>
      <c r="C659" s="15" t="s">
        <v>1301</v>
      </c>
      <c r="D659" s="141"/>
      <c r="E659" s="15" t="s">
        <v>1302</v>
      </c>
      <c r="F659" s="141" t="str">
        <f>IF(wskakunin_kanri6_JIMU_SIKAKU__label="","",wskakunin_kanri6_JIMU_SIKAKU__label)</f>
        <v/>
      </c>
      <c r="H659" s="18"/>
    </row>
    <row r="660" spans="1:8" ht="15" customHeight="1">
      <c r="A660" s="47"/>
      <c r="B660" s="77" t="s">
        <v>458</v>
      </c>
      <c r="C660" s="15" t="s">
        <v>1303</v>
      </c>
      <c r="D660" s="141"/>
      <c r="E660" s="15" t="s">
        <v>1304</v>
      </c>
      <c r="F660" s="141" t="str">
        <f>IF(wskakunin_kanri6_JIMU_TOUROKU_KIKAN__label="","",wskakunin_kanri6_JIMU_TOUROKU_KIKAN__label)</f>
        <v/>
      </c>
      <c r="H660" s="18"/>
    </row>
    <row r="661" spans="1:8" ht="15" customHeight="1">
      <c r="A661" s="47"/>
      <c r="B661" s="77" t="s">
        <v>461</v>
      </c>
      <c r="C661" s="15" t="s">
        <v>1305</v>
      </c>
      <c r="D661" s="220"/>
      <c r="E661" s="15" t="s">
        <v>1306</v>
      </c>
      <c r="F661" s="141" t="str">
        <f>IF(wskakunin_kanri6_JIMU_NO="","",wskakunin_kanri6_JIMU_NO)</f>
        <v/>
      </c>
      <c r="H661" s="18"/>
    </row>
    <row r="662" spans="1:8" ht="15" customHeight="1">
      <c r="A662" s="60"/>
      <c r="B662" s="71" t="s">
        <v>464</v>
      </c>
      <c r="C662" s="15" t="s">
        <v>1307</v>
      </c>
      <c r="D662" s="141"/>
      <c r="E662" s="15" t="s">
        <v>1308</v>
      </c>
      <c r="F662" s="141" t="str">
        <f>IF(wskakunin_kanri6_JIMU_NAME="", "", wskakunin_kanri6_JIMU_NAME)</f>
        <v/>
      </c>
      <c r="H662" s="18"/>
    </row>
    <row r="663" spans="1:8" ht="15" customHeight="1">
      <c r="A663" s="60"/>
      <c r="B663" s="71" t="s">
        <v>257</v>
      </c>
      <c r="C663" s="15" t="s">
        <v>1309</v>
      </c>
      <c r="D663" s="220"/>
      <c r="E663" s="15" t="s">
        <v>1310</v>
      </c>
      <c r="F663" s="141" t="str">
        <f>IF(wskakunin_kanri6_ZIP="", "", wskakunin_kanri6_ZIP)</f>
        <v/>
      </c>
      <c r="H663" s="18"/>
    </row>
    <row r="664" spans="1:8" ht="15" customHeight="1">
      <c r="A664" s="60"/>
      <c r="B664" s="71" t="s">
        <v>469</v>
      </c>
      <c r="C664" s="15" t="s">
        <v>1311</v>
      </c>
      <c r="D664" s="141"/>
      <c r="E664" s="15" t="s">
        <v>1312</v>
      </c>
      <c r="F664" s="141" t="str">
        <f>IF(wskakunin_kanri6__address="", "", wskakunin_kanri6__address)</f>
        <v/>
      </c>
      <c r="H664" s="18"/>
    </row>
    <row r="665" spans="1:8" ht="15" customHeight="1">
      <c r="A665" s="60"/>
      <c r="B665" s="71" t="s">
        <v>264</v>
      </c>
      <c r="C665" s="15" t="s">
        <v>1313</v>
      </c>
      <c r="D665" s="220"/>
      <c r="E665" s="15" t="s">
        <v>1314</v>
      </c>
      <c r="F665" s="141" t="str">
        <f>IF(wskakunin_kanri6_TEL="", "", wskakunin_kanri6_TEL)</f>
        <v/>
      </c>
      <c r="H665" s="18"/>
    </row>
    <row r="666" spans="1:8" ht="15" customHeight="1">
      <c r="A666" s="60"/>
      <c r="B666" s="71" t="s">
        <v>637</v>
      </c>
      <c r="C666" s="15" t="s">
        <v>1315</v>
      </c>
      <c r="D666" s="220"/>
      <c r="E666" s="15" t="s">
        <v>1316</v>
      </c>
      <c r="F666" s="141" t="str">
        <f>IF(wskakunin_kanri6_DOC="","",wskakunin_kanri6_DOC)</f>
        <v/>
      </c>
      <c r="H666" s="18"/>
    </row>
    <row r="667" spans="1:8" ht="15" customHeight="1">
      <c r="A667" s="47"/>
      <c r="B667" s="74"/>
      <c r="H667" s="18"/>
    </row>
    <row r="668" spans="1:8" ht="15" customHeight="1">
      <c r="A668" s="48" t="s">
        <v>1317</v>
      </c>
      <c r="B668" s="47" t="s">
        <v>1172</v>
      </c>
      <c r="H668" s="18"/>
    </row>
    <row r="669" spans="1:8" ht="15" customHeight="1">
      <c r="A669" s="28"/>
      <c r="B669" s="71" t="s">
        <v>435</v>
      </c>
      <c r="C669" s="15" t="s">
        <v>1318</v>
      </c>
      <c r="D669" s="141"/>
      <c r="E669" s="15" t="s">
        <v>1319</v>
      </c>
      <c r="F669" s="141" t="str">
        <f>IF(wskakunin_kanri7__sikaku="", "", wskakunin_kanri7__sikaku)</f>
        <v/>
      </c>
      <c r="H669" s="18"/>
    </row>
    <row r="670" spans="1:8" ht="15" customHeight="1">
      <c r="A670" s="28"/>
      <c r="B670" s="71" t="s">
        <v>438</v>
      </c>
      <c r="C670" s="15" t="s">
        <v>1320</v>
      </c>
      <c r="D670" s="141"/>
      <c r="E670" s="15" t="s">
        <v>1321</v>
      </c>
      <c r="F670" s="141" t="str">
        <f>IF(wskakunin_kanri7_SIKAKU__label="", "", wskakunin_kanri7_SIKAKU__label)</f>
        <v/>
      </c>
      <c r="H670" s="18"/>
    </row>
    <row r="671" spans="1:8" ht="15" customHeight="1">
      <c r="A671" s="35"/>
      <c r="B671" s="77" t="s">
        <v>441</v>
      </c>
      <c r="C671" s="15" t="s">
        <v>1322</v>
      </c>
      <c r="D671" s="141"/>
      <c r="E671" s="15" t="s">
        <v>1323</v>
      </c>
      <c r="F671" s="141" t="str">
        <f>IF(wskakunin_kanri7_TOUROKU_KIKAN__label="","",wskakunin_kanri7_TOUROKU_KIKAN__label)</f>
        <v/>
      </c>
      <c r="H671" s="18"/>
    </row>
    <row r="672" spans="1:8" ht="15" customHeight="1">
      <c r="A672" s="35"/>
      <c r="B672" s="77" t="s">
        <v>444</v>
      </c>
      <c r="C672" s="15" t="s">
        <v>1324</v>
      </c>
      <c r="D672" s="220"/>
      <c r="E672" s="15" t="s">
        <v>1325</v>
      </c>
      <c r="F672" s="141" t="str">
        <f>IF(wskakunin_kanri7_KENTIKUSI_NO="","",wskakunin_kanri7_KENTIKUSI_NO)</f>
        <v/>
      </c>
      <c r="H672" s="18"/>
    </row>
    <row r="673" spans="1:8" ht="15" customHeight="1">
      <c r="A673" s="60"/>
      <c r="B673" s="71" t="s">
        <v>247</v>
      </c>
      <c r="C673" s="15" t="s">
        <v>1326</v>
      </c>
      <c r="D673" s="141"/>
      <c r="E673" s="15" t="s">
        <v>1327</v>
      </c>
      <c r="F673" s="141" t="str">
        <f>IF(wskakunin_kanri7_NAME="", "", wskakunin_kanri7_NAME)</f>
        <v/>
      </c>
      <c r="H673" s="18"/>
    </row>
    <row r="674" spans="1:8" ht="15" customHeight="1">
      <c r="A674" s="60"/>
      <c r="B674" s="71" t="s">
        <v>452</v>
      </c>
      <c r="C674" s="15" t="s">
        <v>1328</v>
      </c>
      <c r="D674" s="141"/>
      <c r="E674" s="15" t="s">
        <v>1329</v>
      </c>
      <c r="F674" s="141" t="str">
        <f>IF(wskakunin_kanri7_JIMU__sikaku="", "", wskakunin_kanri7_JIMU__sikaku)</f>
        <v/>
      </c>
      <c r="H674" s="18"/>
    </row>
    <row r="675" spans="1:8" ht="15" customHeight="1">
      <c r="A675" s="47"/>
      <c r="B675" s="77" t="s">
        <v>455</v>
      </c>
      <c r="C675" s="15" t="s">
        <v>1330</v>
      </c>
      <c r="D675" s="141"/>
      <c r="E675" s="15" t="s">
        <v>1331</v>
      </c>
      <c r="F675" s="141" t="str">
        <f>IF(wskakunin_kanri7_JIMU_SIKAKU__label="","",wskakunin_kanri7_JIMU_SIKAKU__label)</f>
        <v/>
      </c>
      <c r="H675" s="18"/>
    </row>
    <row r="676" spans="1:8" ht="15" customHeight="1">
      <c r="A676" s="47"/>
      <c r="B676" s="77" t="s">
        <v>458</v>
      </c>
      <c r="C676" s="15" t="s">
        <v>1332</v>
      </c>
      <c r="D676" s="141"/>
      <c r="E676" s="15" t="s">
        <v>1333</v>
      </c>
      <c r="F676" s="141" t="str">
        <f>IF(wskakunin_kanri7_JIMU_TOUROKU_KIKAN__label="","",wskakunin_kanri7_JIMU_TOUROKU_KIKAN__label)</f>
        <v/>
      </c>
      <c r="H676" s="18"/>
    </row>
    <row r="677" spans="1:8" ht="15" customHeight="1">
      <c r="A677" s="47"/>
      <c r="B677" s="77" t="s">
        <v>461</v>
      </c>
      <c r="C677" s="15" t="s">
        <v>1334</v>
      </c>
      <c r="D677" s="220"/>
      <c r="E677" s="15" t="s">
        <v>1335</v>
      </c>
      <c r="F677" s="141" t="str">
        <f>IF(wskakunin_kanri7_JIMU_NO="","",wskakunin_kanri7_JIMU_NO)</f>
        <v/>
      </c>
      <c r="H677" s="18"/>
    </row>
    <row r="678" spans="1:8" ht="15" customHeight="1">
      <c r="A678" s="60"/>
      <c r="B678" s="71" t="s">
        <v>464</v>
      </c>
      <c r="C678" s="15" t="s">
        <v>1336</v>
      </c>
      <c r="D678" s="141"/>
      <c r="E678" s="15" t="s">
        <v>1337</v>
      </c>
      <c r="F678" s="141" t="str">
        <f>IF(wskakunin_kanri7_JIMU_NAME="", "", wskakunin_kanri7_JIMU_NAME)</f>
        <v/>
      </c>
      <c r="H678" s="18"/>
    </row>
    <row r="679" spans="1:8" ht="15" customHeight="1">
      <c r="A679" s="60"/>
      <c r="B679" s="71" t="s">
        <v>257</v>
      </c>
      <c r="C679" s="15" t="s">
        <v>1338</v>
      </c>
      <c r="D679" s="220"/>
      <c r="E679" s="15" t="s">
        <v>1339</v>
      </c>
      <c r="F679" s="141" t="str">
        <f>IF(wskakunin_kanri7_ZIP="", "", wskakunin_kanri7_ZIP)</f>
        <v/>
      </c>
      <c r="H679" s="18"/>
    </row>
    <row r="680" spans="1:8" ht="15" customHeight="1">
      <c r="A680" s="60"/>
      <c r="B680" s="71" t="s">
        <v>469</v>
      </c>
      <c r="C680" s="15" t="s">
        <v>1340</v>
      </c>
      <c r="D680" s="141"/>
      <c r="E680" s="15" t="s">
        <v>1341</v>
      </c>
      <c r="F680" s="141" t="str">
        <f>IF(wskakunin_kanri7__address="", "", wskakunin_kanri7__address)</f>
        <v/>
      </c>
      <c r="H680" s="18"/>
    </row>
    <row r="681" spans="1:8" ht="15" customHeight="1">
      <c r="A681" s="60"/>
      <c r="B681" s="71" t="s">
        <v>264</v>
      </c>
      <c r="C681" s="15" t="s">
        <v>1342</v>
      </c>
      <c r="D681" s="220"/>
      <c r="E681" s="15" t="s">
        <v>1343</v>
      </c>
      <c r="F681" s="141" t="str">
        <f>IF(wskakunin_kanri7_TEL="", "", wskakunin_kanri7_TEL)</f>
        <v/>
      </c>
      <c r="H681" s="18"/>
    </row>
    <row r="682" spans="1:8" ht="15" customHeight="1">
      <c r="A682" s="60"/>
      <c r="B682" s="71" t="s">
        <v>637</v>
      </c>
      <c r="C682" s="15" t="s">
        <v>1344</v>
      </c>
      <c r="D682" s="220"/>
      <c r="E682" s="15" t="s">
        <v>1345</v>
      </c>
      <c r="F682" s="141" t="str">
        <f>IF(wskakunin_kanri7_DOC="","",wskakunin_kanri7_DOC)</f>
        <v/>
      </c>
      <c r="H682" s="18"/>
    </row>
    <row r="683" spans="1:8" ht="15" customHeight="1">
      <c r="A683" s="47"/>
      <c r="B683" s="74"/>
      <c r="H683" s="18"/>
    </row>
    <row r="684" spans="1:8" ht="15" customHeight="1">
      <c r="A684" s="48" t="s">
        <v>1346</v>
      </c>
      <c r="B684" s="47" t="s">
        <v>1172</v>
      </c>
      <c r="H684" s="18"/>
    </row>
    <row r="685" spans="1:8" ht="15" customHeight="1">
      <c r="A685" s="28"/>
      <c r="B685" s="71" t="s">
        <v>435</v>
      </c>
      <c r="C685" s="15" t="s">
        <v>1347</v>
      </c>
      <c r="D685" s="141"/>
      <c r="E685" s="15" t="s">
        <v>1348</v>
      </c>
      <c r="F685" s="141" t="str">
        <f>IF(wskakunin_kanri8__sikaku="", "", wskakunin_kanri8__sikaku)</f>
        <v/>
      </c>
      <c r="H685" s="18"/>
    </row>
    <row r="686" spans="1:8" ht="15" customHeight="1">
      <c r="A686" s="28"/>
      <c r="B686" s="71" t="s">
        <v>438</v>
      </c>
      <c r="C686" s="15" t="s">
        <v>1349</v>
      </c>
      <c r="D686" s="141"/>
      <c r="E686" s="15" t="s">
        <v>1350</v>
      </c>
      <c r="F686" s="141" t="str">
        <f>IF(wskakunin_kanri8_SIKAKU__label="", "", wskakunin_kanri8_SIKAKU__label)</f>
        <v/>
      </c>
      <c r="H686" s="18"/>
    </row>
    <row r="687" spans="1:8" ht="15" customHeight="1">
      <c r="A687" s="35"/>
      <c r="B687" s="77" t="s">
        <v>441</v>
      </c>
      <c r="C687" s="15" t="s">
        <v>1351</v>
      </c>
      <c r="D687" s="141"/>
      <c r="E687" s="15" t="s">
        <v>1352</v>
      </c>
      <c r="F687" s="141" t="str">
        <f>IF(wskakunin_kanri8_TOUROKU_KIKAN__label="","",wskakunin_kanri8_TOUROKU_KIKAN__label)</f>
        <v/>
      </c>
      <c r="H687" s="18"/>
    </row>
    <row r="688" spans="1:8" ht="15" customHeight="1">
      <c r="A688" s="35"/>
      <c r="B688" s="77" t="s">
        <v>444</v>
      </c>
      <c r="C688" s="15" t="s">
        <v>1353</v>
      </c>
      <c r="D688" s="220"/>
      <c r="E688" s="15" t="s">
        <v>1354</v>
      </c>
      <c r="F688" s="141" t="str">
        <f>IF(wskakunin_kanri8_KENTIKUSI_NO="","",wskakunin_kanri8_KENTIKUSI_NO)</f>
        <v/>
      </c>
      <c r="H688" s="18"/>
    </row>
    <row r="689" spans="1:8" ht="15" customHeight="1">
      <c r="A689" s="60"/>
      <c r="B689" s="71" t="s">
        <v>247</v>
      </c>
      <c r="C689" s="15" t="s">
        <v>1355</v>
      </c>
      <c r="D689" s="141"/>
      <c r="E689" s="15" t="s">
        <v>1356</v>
      </c>
      <c r="F689" s="141" t="str">
        <f>IF(wskakunin_kanri8_NAME="", "", wskakunin_kanri8_NAME)</f>
        <v/>
      </c>
      <c r="H689" s="18"/>
    </row>
    <row r="690" spans="1:8" ht="15" customHeight="1">
      <c r="A690" s="60"/>
      <c r="B690" s="71" t="s">
        <v>452</v>
      </c>
      <c r="C690" s="15" t="s">
        <v>1357</v>
      </c>
      <c r="D690" s="141"/>
      <c r="E690" s="15" t="s">
        <v>1358</v>
      </c>
      <c r="F690" s="141" t="str">
        <f>IF(wskakunin_kanri8_JIMU__sikaku="", "", wskakunin_kanri8_JIMU__sikaku)</f>
        <v/>
      </c>
      <c r="H690" s="18"/>
    </row>
    <row r="691" spans="1:8" ht="15" customHeight="1">
      <c r="A691" s="47"/>
      <c r="B691" s="77" t="s">
        <v>455</v>
      </c>
      <c r="C691" s="15" t="s">
        <v>1359</v>
      </c>
      <c r="D691" s="141"/>
      <c r="E691" s="15" t="s">
        <v>1360</v>
      </c>
      <c r="F691" s="141" t="str">
        <f>IF(wskakunin_kanri8_JIMU_SIKAKU__label="","",wskakunin_kanri8_JIMU_SIKAKU__label)</f>
        <v/>
      </c>
      <c r="H691" s="18"/>
    </row>
    <row r="692" spans="1:8" ht="15" customHeight="1">
      <c r="A692" s="47"/>
      <c r="B692" s="77" t="s">
        <v>458</v>
      </c>
      <c r="C692" s="15" t="s">
        <v>1361</v>
      </c>
      <c r="D692" s="141"/>
      <c r="E692" s="15" t="s">
        <v>1362</v>
      </c>
      <c r="F692" s="141" t="str">
        <f>IF(wskakunin_kanri8_JIMU_TOUROKU_KIKAN__label="","",wskakunin_kanri8_JIMU_TOUROKU_KIKAN__label)</f>
        <v/>
      </c>
      <c r="H692" s="18"/>
    </row>
    <row r="693" spans="1:8" ht="15" customHeight="1">
      <c r="A693" s="47"/>
      <c r="B693" s="77" t="s">
        <v>461</v>
      </c>
      <c r="C693" s="15" t="s">
        <v>1363</v>
      </c>
      <c r="D693" s="220"/>
      <c r="E693" s="15" t="s">
        <v>1364</v>
      </c>
      <c r="F693" s="141" t="str">
        <f>IF(wskakunin_kanri8_JIMU_NO="","",wskakunin_kanri8_JIMU_NO)</f>
        <v/>
      </c>
      <c r="H693" s="18"/>
    </row>
    <row r="694" spans="1:8" ht="15" customHeight="1">
      <c r="A694" s="60"/>
      <c r="B694" s="71" t="s">
        <v>464</v>
      </c>
      <c r="C694" s="15" t="s">
        <v>1365</v>
      </c>
      <c r="D694" s="141"/>
      <c r="E694" s="15" t="s">
        <v>1366</v>
      </c>
      <c r="F694" s="141" t="str">
        <f>IF(wskakunin_kanri8_JIMU_NAME="", "", wskakunin_kanri8_JIMU_NAME)</f>
        <v/>
      </c>
      <c r="H694" s="18"/>
    </row>
    <row r="695" spans="1:8" ht="15" customHeight="1">
      <c r="A695" s="60"/>
      <c r="B695" s="71" t="s">
        <v>257</v>
      </c>
      <c r="C695" s="15" t="s">
        <v>1367</v>
      </c>
      <c r="D695" s="220"/>
      <c r="E695" s="15" t="s">
        <v>1368</v>
      </c>
      <c r="F695" s="141" t="str">
        <f>IF(wskakunin_kanri8_ZIP="", "", wskakunin_kanri8_ZIP)</f>
        <v/>
      </c>
      <c r="H695" s="18"/>
    </row>
    <row r="696" spans="1:8" ht="15" customHeight="1">
      <c r="A696" s="60"/>
      <c r="B696" s="71" t="s">
        <v>469</v>
      </c>
      <c r="C696" s="15" t="s">
        <v>1369</v>
      </c>
      <c r="D696" s="141"/>
      <c r="E696" s="15" t="s">
        <v>1370</v>
      </c>
      <c r="F696" s="141" t="str">
        <f>IF(wskakunin_kanri8__address="", "", wskakunin_kanri8__address)</f>
        <v/>
      </c>
      <c r="H696" s="18"/>
    </row>
    <row r="697" spans="1:8" ht="15" customHeight="1">
      <c r="A697" s="60"/>
      <c r="B697" s="71" t="s">
        <v>264</v>
      </c>
      <c r="C697" s="15" t="s">
        <v>1371</v>
      </c>
      <c r="D697" s="220"/>
      <c r="E697" s="15" t="s">
        <v>1372</v>
      </c>
      <c r="F697" s="141" t="str">
        <f>IF(wskakunin_kanri8_TEL="", "", wskakunin_kanri8_TEL)</f>
        <v/>
      </c>
      <c r="H697" s="18"/>
    </row>
    <row r="698" spans="1:8" ht="15" customHeight="1">
      <c r="A698" s="60"/>
      <c r="B698" s="71" t="s">
        <v>637</v>
      </c>
      <c r="C698" s="15" t="s">
        <v>1373</v>
      </c>
      <c r="D698" s="220"/>
      <c r="E698" s="15" t="s">
        <v>1374</v>
      </c>
      <c r="F698" s="141" t="str">
        <f>IF(wskakunin_kanri8_DOC="","",wskakunin_kanri8_DOC)</f>
        <v/>
      </c>
      <c r="H698" s="18"/>
    </row>
    <row r="699" spans="1:8" ht="15" customHeight="1">
      <c r="A699" s="47"/>
      <c r="B699" s="74"/>
      <c r="H699" s="18"/>
    </row>
    <row r="700" spans="1:8" ht="15" customHeight="1">
      <c r="A700" s="48" t="s">
        <v>1375</v>
      </c>
      <c r="B700" s="47" t="s">
        <v>1172</v>
      </c>
      <c r="H700" s="18"/>
    </row>
    <row r="701" spans="1:8" ht="15" customHeight="1">
      <c r="A701" s="28"/>
      <c r="B701" s="71" t="s">
        <v>435</v>
      </c>
      <c r="C701" s="15" t="s">
        <v>1376</v>
      </c>
      <c r="D701" s="141"/>
      <c r="E701" s="15" t="s">
        <v>1377</v>
      </c>
      <c r="F701" s="141" t="str">
        <f>IF(wskakunin_kanri9__sikaku="", "", wskakunin_kanri9__sikaku)</f>
        <v/>
      </c>
      <c r="H701" s="18"/>
    </row>
    <row r="702" spans="1:8" ht="15" customHeight="1">
      <c r="A702" s="28"/>
      <c r="B702" s="71" t="s">
        <v>438</v>
      </c>
      <c r="C702" s="15" t="s">
        <v>1378</v>
      </c>
      <c r="D702" s="141"/>
      <c r="E702" s="15" t="s">
        <v>1379</v>
      </c>
      <c r="F702" s="141" t="str">
        <f>IF(wskakunin_kanri9_SIKAKU__label="", "", wskakunin_kanri9_SIKAKU__label)</f>
        <v/>
      </c>
      <c r="H702" s="18"/>
    </row>
    <row r="703" spans="1:8" ht="15" customHeight="1">
      <c r="A703" s="35"/>
      <c r="B703" s="77" t="s">
        <v>441</v>
      </c>
      <c r="C703" s="15" t="s">
        <v>1380</v>
      </c>
      <c r="D703" s="141"/>
      <c r="E703" s="15" t="s">
        <v>1381</v>
      </c>
      <c r="F703" s="141" t="str">
        <f>IF(wskakunin_kanri9_TOUROKU_KIKAN__label="","",wskakunin_kanri9_TOUROKU_KIKAN__label)</f>
        <v/>
      </c>
      <c r="H703" s="18"/>
    </row>
    <row r="704" spans="1:8" ht="15" customHeight="1">
      <c r="A704" s="35"/>
      <c r="B704" s="77" t="s">
        <v>444</v>
      </c>
      <c r="C704" s="15" t="s">
        <v>1382</v>
      </c>
      <c r="D704" s="220"/>
      <c r="E704" s="15" t="s">
        <v>1383</v>
      </c>
      <c r="F704" s="141" t="str">
        <f>IF(wskakunin_kanri9_KENTIKUSI_NO="","",wskakunin_kanri9_KENTIKUSI_NO)</f>
        <v/>
      </c>
      <c r="H704" s="18"/>
    </row>
    <row r="705" spans="1:8" ht="15" customHeight="1">
      <c r="A705" s="60"/>
      <c r="B705" s="71" t="s">
        <v>247</v>
      </c>
      <c r="C705" s="15" t="s">
        <v>1384</v>
      </c>
      <c r="D705" s="141"/>
      <c r="E705" s="15" t="s">
        <v>1385</v>
      </c>
      <c r="F705" s="141" t="str">
        <f>IF(wskakunin_kanri9_NAME="", "", wskakunin_kanri9_NAME)</f>
        <v/>
      </c>
      <c r="H705" s="18"/>
    </row>
    <row r="706" spans="1:8" ht="15" customHeight="1">
      <c r="A706" s="60"/>
      <c r="B706" s="71" t="s">
        <v>452</v>
      </c>
      <c r="C706" s="15" t="s">
        <v>1386</v>
      </c>
      <c r="D706" s="141"/>
      <c r="E706" s="15" t="s">
        <v>1387</v>
      </c>
      <c r="F706" s="141" t="str">
        <f>IF(wskakunin_kanri9_JIMU__sikaku="", "", wskakunin_kanri9_JIMU__sikaku)</f>
        <v/>
      </c>
      <c r="H706" s="18"/>
    </row>
    <row r="707" spans="1:8" ht="15" customHeight="1">
      <c r="A707" s="47"/>
      <c r="B707" s="77" t="s">
        <v>455</v>
      </c>
      <c r="C707" s="15" t="s">
        <v>1388</v>
      </c>
      <c r="D707" s="141"/>
      <c r="E707" s="15" t="s">
        <v>1389</v>
      </c>
      <c r="F707" s="141" t="str">
        <f>IF(wskakunin_kanri9_JIMU_SIKAKU__label="","",wskakunin_kanri9_JIMU_SIKAKU__label)</f>
        <v/>
      </c>
      <c r="H707" s="18"/>
    </row>
    <row r="708" spans="1:8" ht="15" customHeight="1">
      <c r="A708" s="47"/>
      <c r="B708" s="77" t="s">
        <v>458</v>
      </c>
      <c r="C708" s="15" t="s">
        <v>1390</v>
      </c>
      <c r="D708" s="141"/>
      <c r="E708" s="15" t="s">
        <v>1391</v>
      </c>
      <c r="F708" s="141" t="str">
        <f>IF(wskakunin_kanri9_JIMU_TOUROKU_KIKAN__label="","",wskakunin_kanri9_JIMU_TOUROKU_KIKAN__label)</f>
        <v/>
      </c>
      <c r="H708" s="18"/>
    </row>
    <row r="709" spans="1:8" ht="15" customHeight="1">
      <c r="A709" s="47"/>
      <c r="B709" s="77" t="s">
        <v>461</v>
      </c>
      <c r="C709" s="15" t="s">
        <v>1392</v>
      </c>
      <c r="D709" s="220"/>
      <c r="E709" s="15" t="s">
        <v>1393</v>
      </c>
      <c r="F709" s="141" t="str">
        <f>IF(wskakunin_kanri9_JIMU_NO="","",wskakunin_kanri9_JIMU_NO)</f>
        <v/>
      </c>
      <c r="H709" s="18"/>
    </row>
    <row r="710" spans="1:8" ht="15" customHeight="1">
      <c r="A710" s="60"/>
      <c r="B710" s="71" t="s">
        <v>464</v>
      </c>
      <c r="C710" s="15" t="s">
        <v>1394</v>
      </c>
      <c r="D710" s="141"/>
      <c r="E710" s="15" t="s">
        <v>1395</v>
      </c>
      <c r="F710" s="141" t="str">
        <f>IF(wskakunin_kanri9_JIMU_NAME="", "", wskakunin_kanri9_JIMU_NAME)</f>
        <v/>
      </c>
      <c r="H710" s="18"/>
    </row>
    <row r="711" spans="1:8" ht="15" customHeight="1">
      <c r="A711" s="60"/>
      <c r="B711" s="71" t="s">
        <v>257</v>
      </c>
      <c r="C711" s="15" t="s">
        <v>1396</v>
      </c>
      <c r="D711" s="220"/>
      <c r="E711" s="15" t="s">
        <v>1397</v>
      </c>
      <c r="F711" s="141" t="str">
        <f>IF(wskakunin_kanri9_ZIP="", "", wskakunin_kanri9_ZIP)</f>
        <v/>
      </c>
      <c r="H711" s="18"/>
    </row>
    <row r="712" spans="1:8" ht="15" customHeight="1">
      <c r="A712" s="60"/>
      <c r="B712" s="71" t="s">
        <v>469</v>
      </c>
      <c r="C712" s="15" t="s">
        <v>1398</v>
      </c>
      <c r="D712" s="141"/>
      <c r="E712" s="15" t="s">
        <v>1399</v>
      </c>
      <c r="F712" s="141" t="str">
        <f>IF(wskakunin_kanri9__address="", "", wskakunin_kanri9__address)</f>
        <v/>
      </c>
      <c r="H712" s="18"/>
    </row>
    <row r="713" spans="1:8" ht="15" customHeight="1">
      <c r="A713" s="60"/>
      <c r="B713" s="71" t="s">
        <v>264</v>
      </c>
      <c r="C713" s="15" t="s">
        <v>1400</v>
      </c>
      <c r="D713" s="220"/>
      <c r="E713" s="15" t="s">
        <v>1401</v>
      </c>
      <c r="F713" s="141" t="str">
        <f>IF(wskakunin_kanri9_TEL="", "", wskakunin_kanri9_TEL)</f>
        <v/>
      </c>
      <c r="H713" s="18"/>
    </row>
    <row r="714" spans="1:8" ht="15" customHeight="1">
      <c r="A714" s="60"/>
      <c r="B714" s="71" t="s">
        <v>637</v>
      </c>
      <c r="C714" s="15" t="s">
        <v>1402</v>
      </c>
      <c r="D714" s="220"/>
      <c r="E714" s="15" t="s">
        <v>1403</v>
      </c>
      <c r="F714" s="141" t="str">
        <f>IF(wskakunin_kanri9_DOC="","",wskakunin_kanri9_DOC)</f>
        <v/>
      </c>
      <c r="H714" s="18"/>
    </row>
    <row r="715" spans="1:8" ht="15" customHeight="1">
      <c r="A715" s="47"/>
      <c r="B715" s="74"/>
      <c r="H715" s="18"/>
    </row>
    <row r="716" spans="1:8" ht="15" customHeight="1">
      <c r="A716" s="48" t="s">
        <v>1404</v>
      </c>
      <c r="B716" s="47" t="s">
        <v>1172</v>
      </c>
      <c r="H716" s="18"/>
    </row>
    <row r="717" spans="1:8" ht="15" customHeight="1">
      <c r="A717" s="28"/>
      <c r="B717" s="71" t="s">
        <v>435</v>
      </c>
      <c r="C717" s="15" t="s">
        <v>1405</v>
      </c>
      <c r="D717" s="141"/>
      <c r="E717" s="15" t="s">
        <v>1406</v>
      </c>
      <c r="F717" s="141" t="str">
        <f>IF(wskakunin_kanri10__sikaku="", "", wskakunin_kanri10__sikaku)</f>
        <v/>
      </c>
      <c r="H717" s="18"/>
    </row>
    <row r="718" spans="1:8" ht="15" customHeight="1">
      <c r="A718" s="28"/>
      <c r="B718" s="71" t="s">
        <v>438</v>
      </c>
      <c r="C718" s="15" t="s">
        <v>1407</v>
      </c>
      <c r="D718" s="141"/>
      <c r="E718" s="15" t="s">
        <v>1408</v>
      </c>
      <c r="F718" s="141" t="str">
        <f>IF(wskakunin_kanri10_SIKAKU__label="", "", wskakunin_kanri10_SIKAKU__label)</f>
        <v/>
      </c>
      <c r="H718" s="18"/>
    </row>
    <row r="719" spans="1:8" ht="15" customHeight="1">
      <c r="A719" s="35"/>
      <c r="B719" s="77" t="s">
        <v>441</v>
      </c>
      <c r="C719" s="15" t="s">
        <v>1409</v>
      </c>
      <c r="D719" s="141"/>
      <c r="E719" s="15" t="s">
        <v>1410</v>
      </c>
      <c r="F719" s="141" t="str">
        <f>IF(wskakunin_kanri10_TOUROKU_KIKAN__label="","",wskakunin_kanri10_TOUROKU_KIKAN__label)</f>
        <v/>
      </c>
      <c r="H719" s="18"/>
    </row>
    <row r="720" spans="1:8" ht="15" customHeight="1">
      <c r="A720" s="35"/>
      <c r="B720" s="77" t="s">
        <v>444</v>
      </c>
      <c r="C720" s="15" t="s">
        <v>1411</v>
      </c>
      <c r="D720" s="220"/>
      <c r="E720" s="15" t="s">
        <v>1412</v>
      </c>
      <c r="F720" s="141" t="str">
        <f>IF(wskakunin_kanri10_KENTIKUSI_NO="","",wskakunin_kanri10_KENTIKUSI_NO)</f>
        <v/>
      </c>
      <c r="H720" s="18"/>
    </row>
    <row r="721" spans="1:8" ht="15" customHeight="1">
      <c r="A721" s="60"/>
      <c r="B721" s="71" t="s">
        <v>247</v>
      </c>
      <c r="C721" s="15" t="s">
        <v>1413</v>
      </c>
      <c r="D721" s="141"/>
      <c r="E721" s="15" t="s">
        <v>1414</v>
      </c>
      <c r="F721" s="141" t="str">
        <f>IF(wskakunin_kanri10_NAME="", "", wskakunin_kanri10_NAME)</f>
        <v/>
      </c>
      <c r="H721" s="18"/>
    </row>
    <row r="722" spans="1:8" ht="15" customHeight="1">
      <c r="A722" s="60"/>
      <c r="B722" s="71" t="s">
        <v>452</v>
      </c>
      <c r="C722" s="15" t="s">
        <v>1415</v>
      </c>
      <c r="D722" s="141"/>
      <c r="E722" s="15" t="s">
        <v>1416</v>
      </c>
      <c r="F722" s="141" t="str">
        <f>IF(wskakunin_kanri10_JIMU__sikaku="", "", wskakunin_kanri10_JIMU__sikaku)</f>
        <v/>
      </c>
      <c r="H722" s="18"/>
    </row>
    <row r="723" spans="1:8" ht="15" customHeight="1">
      <c r="A723" s="47"/>
      <c r="B723" s="77" t="s">
        <v>455</v>
      </c>
      <c r="C723" s="15" t="s">
        <v>1417</v>
      </c>
      <c r="D723" s="141"/>
      <c r="E723" s="15" t="s">
        <v>1418</v>
      </c>
      <c r="F723" s="141" t="str">
        <f>IF(wskakunin_kanri10_JIMU_SIKAKU__label="","",wskakunin_kanri10_JIMU_SIKAKU__label)</f>
        <v/>
      </c>
      <c r="H723" s="18"/>
    </row>
    <row r="724" spans="1:8" ht="15" customHeight="1">
      <c r="A724" s="47"/>
      <c r="B724" s="77" t="s">
        <v>458</v>
      </c>
      <c r="C724" s="15" t="s">
        <v>1419</v>
      </c>
      <c r="D724" s="141"/>
      <c r="E724" s="15" t="s">
        <v>1420</v>
      </c>
      <c r="F724" s="141" t="str">
        <f>IF(wskakunin_kanri10_JIMU_TOUROKU_KIKAN__label="","",wskakunin_kanri10_JIMU_TOUROKU_KIKAN__label)</f>
        <v/>
      </c>
      <c r="H724" s="18"/>
    </row>
    <row r="725" spans="1:8" ht="15" customHeight="1">
      <c r="A725" s="47"/>
      <c r="B725" s="77" t="s">
        <v>461</v>
      </c>
      <c r="C725" s="15" t="s">
        <v>1421</v>
      </c>
      <c r="D725" s="220"/>
      <c r="E725" s="15" t="s">
        <v>1422</v>
      </c>
      <c r="F725" s="141" t="str">
        <f>IF(wskakunin_kanri10_JIMU_NO="","",wskakunin_kanri10_JIMU_NO)</f>
        <v/>
      </c>
      <c r="H725" s="18"/>
    </row>
    <row r="726" spans="1:8" ht="15" customHeight="1">
      <c r="A726" s="60"/>
      <c r="B726" s="71" t="s">
        <v>464</v>
      </c>
      <c r="C726" s="15" t="s">
        <v>1423</v>
      </c>
      <c r="D726" s="141"/>
      <c r="E726" s="15" t="s">
        <v>1424</v>
      </c>
      <c r="F726" s="141" t="str">
        <f>IF(wskakunin_kanri10_JIMU_NAME="", "", wskakunin_kanri10_JIMU_NAME)</f>
        <v/>
      </c>
      <c r="H726" s="18"/>
    </row>
    <row r="727" spans="1:8" ht="15" customHeight="1">
      <c r="A727" s="60"/>
      <c r="B727" s="71" t="s">
        <v>257</v>
      </c>
      <c r="C727" s="15" t="s">
        <v>1425</v>
      </c>
      <c r="D727" s="220"/>
      <c r="E727" s="15" t="s">
        <v>1426</v>
      </c>
      <c r="F727" s="141" t="str">
        <f>IF(wskakunin_kanri10_ZIP="", "", wskakunin_kanri10_ZIP)</f>
        <v/>
      </c>
      <c r="H727" s="18"/>
    </row>
    <row r="728" spans="1:8" ht="15" customHeight="1">
      <c r="A728" s="60"/>
      <c r="B728" s="71" t="s">
        <v>469</v>
      </c>
      <c r="C728" s="15" t="s">
        <v>1427</v>
      </c>
      <c r="D728" s="141"/>
      <c r="E728" s="15" t="s">
        <v>1428</v>
      </c>
      <c r="F728" s="141" t="str">
        <f>IF(wskakunin_kanri10__address="", "", wskakunin_kanri10__address)</f>
        <v/>
      </c>
      <c r="H728" s="18"/>
    </row>
    <row r="729" spans="1:8" ht="15" customHeight="1">
      <c r="A729" s="60"/>
      <c r="B729" s="71" t="s">
        <v>264</v>
      </c>
      <c r="C729" s="15" t="s">
        <v>1429</v>
      </c>
      <c r="D729" s="220"/>
      <c r="E729" s="15" t="s">
        <v>1430</v>
      </c>
      <c r="F729" s="141" t="str">
        <f>IF(wskakunin_kanri10_TEL="", "", wskakunin_kanri10_TEL)</f>
        <v/>
      </c>
      <c r="H729" s="18"/>
    </row>
    <row r="730" spans="1:8" ht="15" customHeight="1">
      <c r="A730" s="60"/>
      <c r="B730" s="71" t="s">
        <v>637</v>
      </c>
      <c r="C730" s="15" t="s">
        <v>1431</v>
      </c>
      <c r="D730" s="220"/>
      <c r="E730" s="15" t="s">
        <v>1432</v>
      </c>
      <c r="F730" s="141" t="str">
        <f>IF(wskakunin_kanri10_DOC="","",wskakunin_kanri10_DOC)</f>
        <v/>
      </c>
      <c r="H730" s="18"/>
    </row>
    <row r="731" spans="1:8" ht="15" customHeight="1">
      <c r="A731" s="47"/>
      <c r="B731" s="74"/>
      <c r="H731" s="18"/>
    </row>
    <row r="732" spans="1:8" ht="15" customHeight="1">
      <c r="A732" s="48" t="s">
        <v>1433</v>
      </c>
      <c r="B732" s="47" t="s">
        <v>1172</v>
      </c>
      <c r="H732" s="18"/>
    </row>
    <row r="733" spans="1:8" ht="15" customHeight="1">
      <c r="A733" s="28"/>
      <c r="B733" s="71" t="s">
        <v>435</v>
      </c>
      <c r="C733" s="15" t="s">
        <v>1434</v>
      </c>
      <c r="D733" s="141"/>
      <c r="E733" s="15" t="s">
        <v>1435</v>
      </c>
      <c r="F733" s="141" t="str">
        <f>IF(wskakunin_kanri11__sikaku="", "", wskakunin_kanri11__sikaku)</f>
        <v/>
      </c>
      <c r="H733" s="18"/>
    </row>
    <row r="734" spans="1:8" ht="15" customHeight="1">
      <c r="A734" s="28"/>
      <c r="B734" s="71" t="s">
        <v>438</v>
      </c>
      <c r="C734" s="15" t="s">
        <v>1436</v>
      </c>
      <c r="D734" s="141"/>
      <c r="E734" s="15" t="s">
        <v>1437</v>
      </c>
      <c r="F734" s="141" t="str">
        <f>IF(wskakunin_kanri11_SIKAKU__label="", "", wskakunin_kanri11_SIKAKU__label)</f>
        <v/>
      </c>
      <c r="H734" s="18"/>
    </row>
    <row r="735" spans="1:8" ht="15" customHeight="1">
      <c r="A735" s="35"/>
      <c r="B735" s="77" t="s">
        <v>441</v>
      </c>
      <c r="C735" s="15" t="s">
        <v>1438</v>
      </c>
      <c r="D735" s="141"/>
      <c r="E735" s="15" t="s">
        <v>1439</v>
      </c>
      <c r="F735" s="141" t="str">
        <f>IF(wskakunin_kanri11_TOUROKU_KIKAN__label="","",wskakunin_kanri11_TOUROKU_KIKAN__label)</f>
        <v/>
      </c>
      <c r="H735" s="18"/>
    </row>
    <row r="736" spans="1:8" ht="15" customHeight="1">
      <c r="A736" s="35"/>
      <c r="B736" s="77" t="s">
        <v>444</v>
      </c>
      <c r="C736" s="15" t="s">
        <v>1440</v>
      </c>
      <c r="D736" s="220"/>
      <c r="E736" s="15" t="s">
        <v>1441</v>
      </c>
      <c r="F736" s="141" t="str">
        <f>IF(wskakunin_kanri11_KENTIKUSI_NO="","",wskakunin_kanri11_KENTIKUSI_NO)</f>
        <v/>
      </c>
      <c r="H736" s="18"/>
    </row>
    <row r="737" spans="1:8" ht="15" customHeight="1">
      <c r="A737" s="60"/>
      <c r="B737" s="71" t="s">
        <v>247</v>
      </c>
      <c r="C737" s="15" t="s">
        <v>1442</v>
      </c>
      <c r="D737" s="141"/>
      <c r="E737" s="15" t="s">
        <v>1443</v>
      </c>
      <c r="F737" s="141" t="str">
        <f>IF(wskakunin_kanri11_NAME="", "", wskakunin_kanri11_NAME)</f>
        <v/>
      </c>
      <c r="H737" s="18"/>
    </row>
    <row r="738" spans="1:8" ht="15" customHeight="1">
      <c r="A738" s="60"/>
      <c r="B738" s="71" t="s">
        <v>452</v>
      </c>
      <c r="C738" s="15" t="s">
        <v>1444</v>
      </c>
      <c r="D738" s="141"/>
      <c r="E738" s="15" t="s">
        <v>1445</v>
      </c>
      <c r="F738" s="141" t="str">
        <f>IF(wskakunin_kanri11_JIMU__sikaku="", "", wskakunin_kanri11_JIMU__sikaku)</f>
        <v/>
      </c>
      <c r="H738" s="18"/>
    </row>
    <row r="739" spans="1:8" ht="15" customHeight="1">
      <c r="A739" s="47"/>
      <c r="B739" s="77" t="s">
        <v>455</v>
      </c>
      <c r="C739" s="15" t="s">
        <v>1446</v>
      </c>
      <c r="D739" s="141"/>
      <c r="E739" s="15" t="s">
        <v>1447</v>
      </c>
      <c r="F739" s="141" t="str">
        <f>IF(wskakunin_kanri11_JIMU_SIKAKU__label="","",wskakunin_kanri11_JIMU_SIKAKU__label)</f>
        <v/>
      </c>
      <c r="H739" s="18"/>
    </row>
    <row r="740" spans="1:8" ht="15" customHeight="1">
      <c r="A740" s="47"/>
      <c r="B740" s="77" t="s">
        <v>458</v>
      </c>
      <c r="C740" s="15" t="s">
        <v>1448</v>
      </c>
      <c r="D740" s="141"/>
      <c r="E740" s="15" t="s">
        <v>1449</v>
      </c>
      <c r="F740" s="141" t="str">
        <f>IF(wskakunin_kanri11_JIMU_TOUROKU_KIKAN__label="","",wskakunin_kanri11_JIMU_TOUROKU_KIKAN__label)</f>
        <v/>
      </c>
      <c r="H740" s="18"/>
    </row>
    <row r="741" spans="1:8" ht="15" customHeight="1">
      <c r="A741" s="47"/>
      <c r="B741" s="77" t="s">
        <v>461</v>
      </c>
      <c r="C741" s="15" t="s">
        <v>1450</v>
      </c>
      <c r="D741" s="220"/>
      <c r="E741" s="15" t="s">
        <v>1451</v>
      </c>
      <c r="F741" s="141" t="str">
        <f>IF(wskakunin_kanri11_JIMU_NO="","",wskakunin_kanri11_JIMU_NO)</f>
        <v/>
      </c>
      <c r="H741" s="18"/>
    </row>
    <row r="742" spans="1:8" ht="15" customHeight="1">
      <c r="A742" s="60"/>
      <c r="B742" s="71" t="s">
        <v>464</v>
      </c>
      <c r="C742" s="15" t="s">
        <v>1452</v>
      </c>
      <c r="D742" s="141"/>
      <c r="E742" s="15" t="s">
        <v>1453</v>
      </c>
      <c r="F742" s="141" t="str">
        <f>IF(wskakunin_kanri11_JIMU_NAME="", "", wskakunin_kanri11_JIMU_NAME)</f>
        <v/>
      </c>
      <c r="H742" s="18"/>
    </row>
    <row r="743" spans="1:8" ht="15" customHeight="1">
      <c r="A743" s="60"/>
      <c r="B743" s="71" t="s">
        <v>257</v>
      </c>
      <c r="C743" s="15" t="s">
        <v>1454</v>
      </c>
      <c r="D743" s="220"/>
      <c r="E743" s="15" t="s">
        <v>1455</v>
      </c>
      <c r="F743" s="141" t="str">
        <f>IF(wskakunin_kanri11_ZIP="", "", wskakunin_kanri11_ZIP)</f>
        <v/>
      </c>
      <c r="H743" s="18"/>
    </row>
    <row r="744" spans="1:8" ht="15" customHeight="1">
      <c r="A744" s="60"/>
      <c r="B744" s="71" t="s">
        <v>469</v>
      </c>
      <c r="C744" s="15" t="s">
        <v>1456</v>
      </c>
      <c r="D744" s="141"/>
      <c r="E744" s="15" t="s">
        <v>1457</v>
      </c>
      <c r="F744" s="141" t="str">
        <f>IF(wskakunin_kanri11__address="", "", wskakunin_kanri11__address)</f>
        <v/>
      </c>
      <c r="H744" s="18"/>
    </row>
    <row r="745" spans="1:8" ht="15" customHeight="1">
      <c r="A745" s="60"/>
      <c r="B745" s="71" t="s">
        <v>264</v>
      </c>
      <c r="C745" s="15" t="s">
        <v>1458</v>
      </c>
      <c r="D745" s="220"/>
      <c r="E745" s="15" t="s">
        <v>1459</v>
      </c>
      <c r="F745" s="141" t="str">
        <f>IF(wskakunin_kanri11_TEL="", "", wskakunin_kanri11_TEL)</f>
        <v/>
      </c>
      <c r="H745" s="18"/>
    </row>
    <row r="746" spans="1:8" ht="15" customHeight="1">
      <c r="A746" s="60"/>
      <c r="B746" s="71" t="s">
        <v>637</v>
      </c>
      <c r="C746" s="15" t="s">
        <v>1460</v>
      </c>
      <c r="D746" s="220"/>
      <c r="E746" s="15" t="s">
        <v>1461</v>
      </c>
      <c r="F746" s="141" t="str">
        <f>IF(wskakunin_kanri11_DOC="","",wskakunin_kanri11_DOC)</f>
        <v/>
      </c>
      <c r="H746" s="18"/>
    </row>
    <row r="747" spans="1:8" ht="15" customHeight="1">
      <c r="A747" s="47"/>
      <c r="B747" s="74"/>
      <c r="G747" s="18"/>
      <c r="H747" s="18"/>
    </row>
    <row r="748" spans="1:8" ht="15" customHeight="1">
      <c r="A748" s="48" t="s">
        <v>1462</v>
      </c>
      <c r="B748" s="47" t="s">
        <v>1172</v>
      </c>
      <c r="H748" s="18"/>
    </row>
    <row r="749" spans="1:8" ht="15" customHeight="1">
      <c r="A749" s="28"/>
      <c r="B749" s="71" t="s">
        <v>435</v>
      </c>
      <c r="C749" s="15" t="s">
        <v>1463</v>
      </c>
      <c r="D749" s="141"/>
      <c r="E749" s="15" t="s">
        <v>1464</v>
      </c>
      <c r="F749" s="141" t="str">
        <f>IF(wskakunin_kanri12__sikaku="", "", wskakunin_kanri12__sikaku)</f>
        <v/>
      </c>
      <c r="H749" s="18"/>
    </row>
    <row r="750" spans="1:8" ht="15" customHeight="1">
      <c r="A750" s="28"/>
      <c r="B750" s="71" t="s">
        <v>438</v>
      </c>
      <c r="C750" s="15" t="s">
        <v>1465</v>
      </c>
      <c r="D750" s="141"/>
      <c r="E750" s="15" t="s">
        <v>1466</v>
      </c>
      <c r="F750" s="141" t="str">
        <f>IF(wskakunin_kanri12_SIKAKU__label="", "", wskakunin_kanri12_SIKAKU__label)</f>
        <v/>
      </c>
      <c r="H750" s="18"/>
    </row>
    <row r="751" spans="1:8" ht="15" customHeight="1">
      <c r="A751" s="35"/>
      <c r="B751" s="77" t="s">
        <v>441</v>
      </c>
      <c r="C751" s="15" t="s">
        <v>1467</v>
      </c>
      <c r="D751" s="141"/>
      <c r="E751" s="15" t="s">
        <v>1468</v>
      </c>
      <c r="F751" s="141" t="str">
        <f>IF(wskakunin_kanri12_TOUROKU_KIKAN__label="","",wskakunin_kanri12_TOUROKU_KIKAN__label)</f>
        <v/>
      </c>
      <c r="H751" s="18"/>
    </row>
    <row r="752" spans="1:8" ht="15" customHeight="1">
      <c r="A752" s="35"/>
      <c r="B752" s="77" t="s">
        <v>444</v>
      </c>
      <c r="C752" s="15" t="s">
        <v>1469</v>
      </c>
      <c r="D752" s="220"/>
      <c r="E752" s="15" t="s">
        <v>1470</v>
      </c>
      <c r="F752" s="141" t="str">
        <f>IF(wskakunin_kanri12_KENTIKUSI_NO="","",wskakunin_kanri12_KENTIKUSI_NO)</f>
        <v/>
      </c>
      <c r="H752" s="18"/>
    </row>
    <row r="753" spans="1:8" ht="15" customHeight="1">
      <c r="A753" s="60"/>
      <c r="B753" s="71" t="s">
        <v>247</v>
      </c>
      <c r="C753" s="15" t="s">
        <v>1471</v>
      </c>
      <c r="D753" s="141"/>
      <c r="E753" s="15" t="s">
        <v>1472</v>
      </c>
      <c r="F753" s="141" t="str">
        <f>IF(wskakunin_kanri12_NAME="", "", wskakunin_kanri12_NAME)</f>
        <v/>
      </c>
      <c r="H753" s="18"/>
    </row>
    <row r="754" spans="1:8" ht="15" customHeight="1">
      <c r="A754" s="60"/>
      <c r="B754" s="71" t="s">
        <v>452</v>
      </c>
      <c r="C754" s="15" t="s">
        <v>1473</v>
      </c>
      <c r="D754" s="141"/>
      <c r="E754" s="15" t="s">
        <v>1474</v>
      </c>
      <c r="F754" s="141" t="str">
        <f>IF(wskakunin_kanri12_JIMU__sikaku="", "", wskakunin_kanri12_JIMU__sikaku)</f>
        <v/>
      </c>
      <c r="H754" s="18"/>
    </row>
    <row r="755" spans="1:8" ht="15" customHeight="1">
      <c r="A755" s="47"/>
      <c r="B755" s="77" t="s">
        <v>455</v>
      </c>
      <c r="C755" s="15" t="s">
        <v>1475</v>
      </c>
      <c r="D755" s="141"/>
      <c r="E755" s="15" t="s">
        <v>1476</v>
      </c>
      <c r="F755" s="141" t="str">
        <f>IF(wskakunin_kanri12_JIMU_SIKAKU__label="","",wskakunin_kanri12_JIMU_SIKAKU__label)</f>
        <v/>
      </c>
      <c r="H755" s="18"/>
    </row>
    <row r="756" spans="1:8" ht="15" customHeight="1">
      <c r="A756" s="47"/>
      <c r="B756" s="77" t="s">
        <v>458</v>
      </c>
      <c r="C756" s="15" t="s">
        <v>1477</v>
      </c>
      <c r="D756" s="141"/>
      <c r="E756" s="15" t="s">
        <v>1478</v>
      </c>
      <c r="F756" s="141" t="str">
        <f>IF(wskakunin_kanri12_JIMU_TOUROKU_KIKAN__label="","",wskakunin_kanri12_JIMU_TOUROKU_KIKAN__label)</f>
        <v/>
      </c>
      <c r="H756" s="18"/>
    </row>
    <row r="757" spans="1:8" ht="15" customHeight="1">
      <c r="A757" s="47"/>
      <c r="B757" s="77" t="s">
        <v>461</v>
      </c>
      <c r="C757" s="15" t="s">
        <v>1479</v>
      </c>
      <c r="D757" s="220"/>
      <c r="E757" s="15" t="s">
        <v>1480</v>
      </c>
      <c r="F757" s="141" t="str">
        <f>IF(wskakunin_kanri12_JIMU_NO="","",wskakunin_kanri12_JIMU_NO)</f>
        <v/>
      </c>
      <c r="H757" s="18"/>
    </row>
    <row r="758" spans="1:8" ht="15" customHeight="1">
      <c r="A758" s="60"/>
      <c r="B758" s="71" t="s">
        <v>464</v>
      </c>
      <c r="C758" s="15" t="s">
        <v>1481</v>
      </c>
      <c r="D758" s="141"/>
      <c r="E758" s="15" t="s">
        <v>1482</v>
      </c>
      <c r="F758" s="141" t="str">
        <f>IF(wskakunin_kanri12_JIMU_NAME="", "", wskakunin_kanri12_JIMU_NAME)</f>
        <v/>
      </c>
      <c r="H758" s="18"/>
    </row>
    <row r="759" spans="1:8" ht="15" customHeight="1">
      <c r="A759" s="60"/>
      <c r="B759" s="71" t="s">
        <v>257</v>
      </c>
      <c r="C759" s="15" t="s">
        <v>1483</v>
      </c>
      <c r="D759" s="220"/>
      <c r="E759" s="15" t="s">
        <v>1484</v>
      </c>
      <c r="F759" s="141" t="str">
        <f>IF(wskakunin_kanri12_ZIP="", "", wskakunin_kanri12_ZIP)</f>
        <v/>
      </c>
      <c r="H759" s="18"/>
    </row>
    <row r="760" spans="1:8" ht="15" customHeight="1">
      <c r="A760" s="60"/>
      <c r="B760" s="71" t="s">
        <v>469</v>
      </c>
      <c r="C760" s="15" t="s">
        <v>1485</v>
      </c>
      <c r="D760" s="141"/>
      <c r="E760" s="15" t="s">
        <v>1486</v>
      </c>
      <c r="F760" s="141" t="str">
        <f>IF(wskakunin_kanri12__address="", "", wskakunin_kanri12__address)</f>
        <v/>
      </c>
      <c r="H760" s="18"/>
    </row>
    <row r="761" spans="1:8" ht="15" customHeight="1">
      <c r="A761" s="60"/>
      <c r="B761" s="71" t="s">
        <v>264</v>
      </c>
      <c r="C761" s="15" t="s">
        <v>1487</v>
      </c>
      <c r="D761" s="220"/>
      <c r="E761" s="15" t="s">
        <v>1488</v>
      </c>
      <c r="F761" s="141" t="str">
        <f>IF(wskakunin_kanri12_TEL="", "", wskakunin_kanri12_TEL)</f>
        <v/>
      </c>
      <c r="H761" s="18"/>
    </row>
    <row r="762" spans="1:8" ht="15" customHeight="1">
      <c r="A762" s="60"/>
      <c r="B762" s="71" t="s">
        <v>637</v>
      </c>
      <c r="C762" s="15" t="s">
        <v>1489</v>
      </c>
      <c r="D762" s="220"/>
      <c r="E762" s="15" t="s">
        <v>1490</v>
      </c>
      <c r="F762" s="141" t="str">
        <f>IF(wskakunin_kanri12_DOC="","",wskakunin_kanri12_DOC)</f>
        <v/>
      </c>
      <c r="H762" s="18"/>
    </row>
    <row r="763" spans="1:8" ht="15" customHeight="1">
      <c r="A763" s="47"/>
      <c r="B763" s="74"/>
      <c r="G763" s="18"/>
      <c r="H763" s="18"/>
    </row>
    <row r="764" spans="1:8" ht="15" customHeight="1">
      <c r="A764" s="53" t="s">
        <v>1491</v>
      </c>
      <c r="B764" s="728"/>
      <c r="D764" s="18"/>
      <c r="G764" s="18"/>
      <c r="H764" s="18"/>
    </row>
    <row r="765" spans="1:8" ht="15" customHeight="1">
      <c r="A765" s="61"/>
      <c r="B765" s="76" t="s">
        <v>247</v>
      </c>
      <c r="C765" s="15" t="s">
        <v>1492</v>
      </c>
      <c r="D765" s="226"/>
      <c r="E765" s="15" t="s">
        <v>1493</v>
      </c>
      <c r="F765" s="226" t="str">
        <f>IF(wskakunin_sekou1_NAME="", "", wskakunin_sekou1_NAME)</f>
        <v/>
      </c>
      <c r="G765" s="18"/>
      <c r="H765" s="18"/>
    </row>
    <row r="766" spans="1:8" ht="15" customHeight="1">
      <c r="A766" s="61"/>
      <c r="B766" s="76" t="s">
        <v>1494</v>
      </c>
      <c r="C766" s="15" t="s">
        <v>1495</v>
      </c>
      <c r="D766" s="226"/>
      <c r="E766" s="15" t="s">
        <v>1496</v>
      </c>
      <c r="F766" s="226" t="str">
        <f>IF(wskakunin_sekou1_SEKOU__sikaku="", "", wskakunin_sekou1_SEKOU__sikaku)</f>
        <v/>
      </c>
      <c r="G766" s="18"/>
      <c r="H766" s="18"/>
    </row>
    <row r="767" spans="1:8" ht="15" customHeight="1">
      <c r="A767" s="61"/>
      <c r="B767" s="76" t="s">
        <v>1497</v>
      </c>
      <c r="C767" s="15" t="s">
        <v>1498</v>
      </c>
      <c r="D767" s="226"/>
      <c r="E767" s="15" t="s">
        <v>1499</v>
      </c>
      <c r="F767" s="226" t="str">
        <f>IF(wskakunin_sekou1_SEKOU_SIKAKU__label="", "",wskakunin_sekou1_SEKOU_SIKAKU__label)</f>
        <v/>
      </c>
      <c r="G767" s="18"/>
      <c r="H767" s="18"/>
    </row>
    <row r="768" spans="1:8" ht="15" customHeight="1">
      <c r="A768" s="61"/>
      <c r="B768" s="76" t="s">
        <v>1500</v>
      </c>
      <c r="C768" s="15" t="s">
        <v>1501</v>
      </c>
      <c r="D768" s="228"/>
      <c r="E768" s="15" t="s">
        <v>1502</v>
      </c>
      <c r="F768" s="226" t="str">
        <f>IF(wskakunin_sekou1_SEKOU_NO="","",wskakunin_sekou1_SEKOU_NO)</f>
        <v/>
      </c>
      <c r="G768" s="18"/>
      <c r="H768" s="18"/>
    </row>
    <row r="769" spans="1:8" ht="15" customHeight="1">
      <c r="A769" s="61"/>
      <c r="B769" s="76" t="s">
        <v>1503</v>
      </c>
      <c r="C769" s="15" t="s">
        <v>1504</v>
      </c>
      <c r="D769" s="226"/>
      <c r="E769" s="15" t="s">
        <v>1505</v>
      </c>
      <c r="F769" s="226" t="str">
        <f>IF(wskakunin_sekou1_JIMU_NAME="", "", wskakunin_sekou1_JIMU_NAME)</f>
        <v/>
      </c>
      <c r="G769" s="18"/>
      <c r="H769" s="18"/>
    </row>
    <row r="770" spans="1:8" ht="15" customHeight="1">
      <c r="A770" s="61"/>
      <c r="B770" s="76" t="s">
        <v>257</v>
      </c>
      <c r="C770" s="15" t="s">
        <v>1506</v>
      </c>
      <c r="D770" s="228"/>
      <c r="E770" s="15" t="s">
        <v>1507</v>
      </c>
      <c r="F770" s="226" t="str">
        <f>IF(wskakunin_sekou1_ZIP="", "", wskakunin_sekou1_ZIP)</f>
        <v/>
      </c>
      <c r="G770" s="18"/>
      <c r="H770" s="18"/>
    </row>
    <row r="771" spans="1:8" ht="15" customHeight="1">
      <c r="A771" s="61"/>
      <c r="B771" s="76" t="s">
        <v>469</v>
      </c>
      <c r="C771" s="15" t="s">
        <v>1508</v>
      </c>
      <c r="D771" s="226"/>
      <c r="E771" s="15" t="s">
        <v>1509</v>
      </c>
      <c r="F771" s="226" t="str">
        <f>IF(wskakunin_sekou1__address="", "", wskakunin_sekou1__address)</f>
        <v/>
      </c>
      <c r="G771" s="18"/>
      <c r="H771" s="18"/>
    </row>
    <row r="772" spans="1:8" ht="15" customHeight="1">
      <c r="A772" s="61"/>
      <c r="B772" s="76" t="s">
        <v>264</v>
      </c>
      <c r="C772" s="15" t="s">
        <v>1510</v>
      </c>
      <c r="D772" s="228"/>
      <c r="E772" s="15" t="s">
        <v>1511</v>
      </c>
      <c r="F772" s="226" t="str">
        <f>IF(wskakunin_sekou1_TEL="", "", wskakunin_sekou1_TEL)</f>
        <v/>
      </c>
      <c r="G772" s="18"/>
      <c r="H772" s="18"/>
    </row>
    <row r="773" spans="1:8" ht="15" customHeight="1">
      <c r="A773" s="61"/>
      <c r="B773" s="76" t="s">
        <v>1512</v>
      </c>
      <c r="D773" s="37"/>
      <c r="E773" s="15" t="s">
        <v>1513</v>
      </c>
      <c r="F773" s="226">
        <f>IF(AND(cst_wskakunin_sekou1_NAME="",cst_wskakunin_sekou1_SEKOU__sikaku="",cst_wskakunin_sekou1_SEKOU_SIKAKU="",cst_wskakunin_sekou1_SEKOU_NO="",cst_wskakunin_sekou1_JIMU_NAME="",cst_wskakunin_sekou1_ZIP="",cst_wskakunin_sekou1__address="",cst_wskakunin_sekou1_TEL=""),1,2)</f>
        <v>1</v>
      </c>
      <c r="G773" s="18" t="s">
        <v>1514</v>
      </c>
      <c r="H773" s="18"/>
    </row>
    <row r="774" spans="1:8" ht="15" customHeight="1">
      <c r="A774" s="53" t="s">
        <v>1515</v>
      </c>
      <c r="B774" s="728"/>
      <c r="D774" s="37"/>
      <c r="F774" s="18"/>
      <c r="G774" s="18"/>
      <c r="H774" s="18"/>
    </row>
    <row r="775" spans="1:8" ht="15" customHeight="1">
      <c r="A775" s="61"/>
      <c r="B775" s="76" t="s">
        <v>247</v>
      </c>
      <c r="C775" s="15" t="s">
        <v>1516</v>
      </c>
      <c r="D775" s="226"/>
      <c r="E775" s="15" t="s">
        <v>1517</v>
      </c>
      <c r="F775" s="226" t="str">
        <f>IF(wskakunin_sekou2_NAME="", "", wskakunin_sekou2_NAME)</f>
        <v/>
      </c>
      <c r="H775" s="18"/>
    </row>
    <row r="776" spans="1:8" ht="15" customHeight="1">
      <c r="A776" s="61"/>
      <c r="B776" s="76" t="s">
        <v>1494</v>
      </c>
      <c r="C776" s="15" t="s">
        <v>1518</v>
      </c>
      <c r="D776" s="226"/>
      <c r="E776" s="15" t="s">
        <v>1519</v>
      </c>
      <c r="F776" s="226" t="str">
        <f>IF(wskakunin_sekou2_SEKOU__sikaku="", "", wskakunin_sekou2_SEKOU__sikaku)</f>
        <v/>
      </c>
      <c r="H776" s="18"/>
    </row>
    <row r="777" spans="1:8" ht="15" customHeight="1">
      <c r="A777" s="61"/>
      <c r="B777" s="76" t="s">
        <v>1497</v>
      </c>
      <c r="C777" s="15" t="s">
        <v>1520</v>
      </c>
      <c r="D777" s="226"/>
      <c r="E777" s="15" t="s">
        <v>1521</v>
      </c>
      <c r="F777" s="226" t="str">
        <f>IF(wskakunin_sekou2_SEKOU_SIKAKU__label="", "",wskakunin_sekou2_SEKOU_SIKAKU__label)</f>
        <v/>
      </c>
      <c r="H777" s="18"/>
    </row>
    <row r="778" spans="1:8" ht="15" customHeight="1">
      <c r="A778" s="61"/>
      <c r="B778" s="76" t="s">
        <v>1500</v>
      </c>
      <c r="C778" s="15" t="s">
        <v>1522</v>
      </c>
      <c r="D778" s="228"/>
      <c r="E778" s="15" t="s">
        <v>1523</v>
      </c>
      <c r="F778" s="226" t="str">
        <f>IF(wskakunin_sekou2_SEKOU_NO="","",wskakunin_sekou2_SEKOU_NO)</f>
        <v/>
      </c>
      <c r="H778" s="18"/>
    </row>
    <row r="779" spans="1:8" ht="15" customHeight="1">
      <c r="A779" s="61"/>
      <c r="B779" s="76" t="s">
        <v>1503</v>
      </c>
      <c r="C779" s="15" t="s">
        <v>1524</v>
      </c>
      <c r="D779" s="226"/>
      <c r="E779" s="15" t="s">
        <v>1525</v>
      </c>
      <c r="F779" s="226" t="str">
        <f>IF(wskakunin_sekou2_JIMU_NAME="", "", wskakunin_sekou2_JIMU_NAME)</f>
        <v/>
      </c>
      <c r="H779" s="18"/>
    </row>
    <row r="780" spans="1:8" ht="15" customHeight="1">
      <c r="A780" s="61"/>
      <c r="B780" s="76" t="s">
        <v>257</v>
      </c>
      <c r="C780" s="15" t="s">
        <v>1526</v>
      </c>
      <c r="D780" s="228"/>
      <c r="E780" s="15" t="s">
        <v>1527</v>
      </c>
      <c r="F780" s="226" t="str">
        <f>IF(wskakunin_sekou2_ZIP="", "", wskakunin_sekou2_ZIP)</f>
        <v/>
      </c>
      <c r="H780" s="18"/>
    </row>
    <row r="781" spans="1:8" ht="15" customHeight="1">
      <c r="A781" s="61"/>
      <c r="B781" s="76" t="s">
        <v>469</v>
      </c>
      <c r="C781" s="15" t="s">
        <v>1528</v>
      </c>
      <c r="D781" s="226"/>
      <c r="E781" s="15" t="s">
        <v>1529</v>
      </c>
      <c r="F781" s="226" t="str">
        <f>IF(wskakunin_sekou2__address="", "", wskakunin_sekou2__address)</f>
        <v/>
      </c>
      <c r="H781" s="18"/>
    </row>
    <row r="782" spans="1:8" ht="15" customHeight="1">
      <c r="A782" s="61"/>
      <c r="B782" s="76" t="s">
        <v>264</v>
      </c>
      <c r="C782" s="15" t="s">
        <v>1530</v>
      </c>
      <c r="D782" s="228"/>
      <c r="E782" s="15" t="s">
        <v>1531</v>
      </c>
      <c r="F782" s="226" t="str">
        <f>IF(wskakunin_sekou2_TEL="", "", wskakunin_sekou2_TEL)</f>
        <v/>
      </c>
      <c r="H782" s="18"/>
    </row>
    <row r="783" spans="1:8" ht="15" customHeight="1">
      <c r="A783" s="61"/>
      <c r="B783" s="76"/>
      <c r="D783" s="37"/>
      <c r="F783" s="18"/>
      <c r="H783" s="18"/>
    </row>
    <row r="784" spans="1:8" ht="15" customHeight="1">
      <c r="A784" s="53" t="s">
        <v>1532</v>
      </c>
      <c r="B784" s="728"/>
      <c r="D784" s="37"/>
      <c r="F784" s="18"/>
      <c r="H784" s="18"/>
    </row>
    <row r="785" spans="1:8" ht="15" customHeight="1">
      <c r="A785" s="61"/>
      <c r="B785" s="76" t="s">
        <v>247</v>
      </c>
      <c r="C785" s="15" t="s">
        <v>1533</v>
      </c>
      <c r="D785" s="226"/>
      <c r="E785" s="15" t="s">
        <v>1534</v>
      </c>
      <c r="F785" s="226" t="str">
        <f>IF(wskakunin_sekou3_NAME="", "", wskakunin_sekou3_NAME)</f>
        <v/>
      </c>
      <c r="H785" s="18"/>
    </row>
    <row r="786" spans="1:8" ht="15" customHeight="1">
      <c r="A786" s="61"/>
      <c r="B786" s="76" t="s">
        <v>1494</v>
      </c>
      <c r="C786" s="15" t="s">
        <v>1535</v>
      </c>
      <c r="D786" s="226"/>
      <c r="E786" s="15" t="s">
        <v>1536</v>
      </c>
      <c r="F786" s="226" t="str">
        <f>IF(wskakunin_sekou3_SEKOU__sikaku="", "", wskakunin_sekou3_SEKOU__sikaku)</f>
        <v/>
      </c>
      <c r="H786" s="18"/>
    </row>
    <row r="787" spans="1:8" ht="15" customHeight="1">
      <c r="A787" s="61"/>
      <c r="B787" s="76" t="s">
        <v>1497</v>
      </c>
      <c r="C787" s="15" t="s">
        <v>1537</v>
      </c>
      <c r="D787" s="226"/>
      <c r="E787" s="15" t="s">
        <v>1538</v>
      </c>
      <c r="F787" s="226" t="str">
        <f>IF(wskakunin_sekou3_SEKOU_SIKAKU__label="", "",wskakunin_sekou3_SEKOU_SIKAKU__label)</f>
        <v/>
      </c>
      <c r="H787" s="18"/>
    </row>
    <row r="788" spans="1:8" ht="15" customHeight="1">
      <c r="A788" s="61"/>
      <c r="B788" s="76" t="s">
        <v>1500</v>
      </c>
      <c r="C788" s="15" t="s">
        <v>1539</v>
      </c>
      <c r="D788" s="228"/>
      <c r="E788" s="15" t="s">
        <v>1540</v>
      </c>
      <c r="F788" s="226" t="str">
        <f>IF(wskakunin_sekou3_SEKOU_NO="","",wskakunin_sekou3_SEKOU_NO)</f>
        <v/>
      </c>
      <c r="H788" s="18"/>
    </row>
    <row r="789" spans="1:8" ht="15" customHeight="1">
      <c r="A789" s="61"/>
      <c r="B789" s="76" t="s">
        <v>1503</v>
      </c>
      <c r="C789" s="15" t="s">
        <v>1541</v>
      </c>
      <c r="D789" s="226"/>
      <c r="E789" s="15" t="s">
        <v>1542</v>
      </c>
      <c r="F789" s="226" t="str">
        <f>IF(wskakunin_sekou3_JIMU_NAME="", "", wskakunin_sekou3_JIMU_NAME)</f>
        <v/>
      </c>
      <c r="H789" s="18"/>
    </row>
    <row r="790" spans="1:8" ht="15" customHeight="1">
      <c r="A790" s="61"/>
      <c r="B790" s="76" t="s">
        <v>257</v>
      </c>
      <c r="C790" s="15" t="s">
        <v>1543</v>
      </c>
      <c r="D790" s="228"/>
      <c r="E790" s="15" t="s">
        <v>1544</v>
      </c>
      <c r="F790" s="226" t="str">
        <f>IF(wskakunin_sekou3_ZIP="", "", wskakunin_sekou3_ZIP)</f>
        <v/>
      </c>
      <c r="H790" s="18"/>
    </row>
    <row r="791" spans="1:8" ht="15" customHeight="1">
      <c r="A791" s="61"/>
      <c r="B791" s="76" t="s">
        <v>469</v>
      </c>
      <c r="C791" s="15" t="s">
        <v>1545</v>
      </c>
      <c r="D791" s="226"/>
      <c r="E791" s="15" t="s">
        <v>1546</v>
      </c>
      <c r="F791" s="226" t="str">
        <f>IF(wskakunin_sekou3__address="", "", wskakunin_sekou3__address)</f>
        <v/>
      </c>
      <c r="H791" s="18"/>
    </row>
    <row r="792" spans="1:8" ht="15" customHeight="1">
      <c r="A792" s="61"/>
      <c r="B792" s="76" t="s">
        <v>264</v>
      </c>
      <c r="C792" s="15" t="s">
        <v>1547</v>
      </c>
      <c r="D792" s="228"/>
      <c r="E792" s="15" t="s">
        <v>1548</v>
      </c>
      <c r="F792" s="226" t="str">
        <f>IF(wskakunin_sekou3_TEL="", "", wskakunin_sekou3_TEL)</f>
        <v/>
      </c>
      <c r="H792" s="18"/>
    </row>
    <row r="793" spans="1:8" ht="15" customHeight="1">
      <c r="A793" s="61"/>
      <c r="B793" s="76"/>
      <c r="D793" s="37"/>
      <c r="F793" s="18"/>
      <c r="H793" s="18"/>
    </row>
    <row r="794" spans="1:8" ht="15" customHeight="1">
      <c r="A794" s="53" t="s">
        <v>1549</v>
      </c>
      <c r="B794" s="728"/>
      <c r="D794" s="37"/>
      <c r="F794" s="18"/>
      <c r="H794" s="18"/>
    </row>
    <row r="795" spans="1:8" ht="15" customHeight="1">
      <c r="A795" s="61"/>
      <c r="B795" s="76" t="s">
        <v>247</v>
      </c>
      <c r="C795" s="15" t="s">
        <v>1550</v>
      </c>
      <c r="D795" s="226"/>
      <c r="E795" s="15" t="s">
        <v>1551</v>
      </c>
      <c r="F795" s="226" t="str">
        <f>IF(wskakunin_sekou4_NAME="", "", wskakunin_sekou4_NAME)</f>
        <v/>
      </c>
      <c r="H795" s="18"/>
    </row>
    <row r="796" spans="1:8" ht="15" customHeight="1">
      <c r="A796" s="61"/>
      <c r="B796" s="76" t="s">
        <v>1494</v>
      </c>
      <c r="C796" s="15" t="s">
        <v>1552</v>
      </c>
      <c r="D796" s="226"/>
      <c r="E796" s="15" t="s">
        <v>1553</v>
      </c>
      <c r="F796" s="226" t="str">
        <f>IF(wskakunin_sekou4_SEKOU__sikaku="", "", wskakunin_sekou4_SEKOU__sikaku)</f>
        <v/>
      </c>
      <c r="H796" s="18"/>
    </row>
    <row r="797" spans="1:8" ht="15" customHeight="1">
      <c r="A797" s="61"/>
      <c r="B797" s="76" t="s">
        <v>1497</v>
      </c>
      <c r="C797" s="15" t="s">
        <v>1554</v>
      </c>
      <c r="D797" s="226"/>
      <c r="E797" s="15" t="s">
        <v>1555</v>
      </c>
      <c r="F797" s="226" t="str">
        <f>IF(wskakunin_sekou4_SEKOU_SIKAKU__label="", "",wskakunin_sekou4_SEKOU_SIKAKU__label)</f>
        <v/>
      </c>
      <c r="H797" s="18"/>
    </row>
    <row r="798" spans="1:8" ht="15" customHeight="1">
      <c r="A798" s="61"/>
      <c r="B798" s="76" t="s">
        <v>1500</v>
      </c>
      <c r="C798" s="15" t="s">
        <v>1556</v>
      </c>
      <c r="D798" s="228"/>
      <c r="E798" s="15" t="s">
        <v>1557</v>
      </c>
      <c r="F798" s="226" t="str">
        <f>IF(wskakunin_sekou4_SEKOU_NO="","",wskakunin_sekou4_SEKOU_NO)</f>
        <v/>
      </c>
      <c r="H798" s="18"/>
    </row>
    <row r="799" spans="1:8" ht="15" customHeight="1">
      <c r="A799" s="61"/>
      <c r="B799" s="76" t="s">
        <v>1503</v>
      </c>
      <c r="C799" s="15" t="s">
        <v>1558</v>
      </c>
      <c r="D799" s="226"/>
      <c r="E799" s="15" t="s">
        <v>1559</v>
      </c>
      <c r="F799" s="226" t="str">
        <f>IF(wskakunin_sekou4_JIMU_NAME="", "", wskakunin_sekou4_JIMU_NAME)</f>
        <v/>
      </c>
      <c r="H799" s="18"/>
    </row>
    <row r="800" spans="1:8" ht="15" customHeight="1">
      <c r="A800" s="61"/>
      <c r="B800" s="76" t="s">
        <v>257</v>
      </c>
      <c r="C800" s="15" t="s">
        <v>1560</v>
      </c>
      <c r="D800" s="228"/>
      <c r="E800" s="15" t="s">
        <v>1561</v>
      </c>
      <c r="F800" s="226" t="str">
        <f>IF(wskakunin_sekou4_ZIP="", "", wskakunin_sekou4_ZIP)</f>
        <v/>
      </c>
      <c r="H800" s="18"/>
    </row>
    <row r="801" spans="1:8" ht="15" customHeight="1">
      <c r="A801" s="61"/>
      <c r="B801" s="76" t="s">
        <v>469</v>
      </c>
      <c r="C801" s="15" t="s">
        <v>1562</v>
      </c>
      <c r="D801" s="226"/>
      <c r="E801" s="15" t="s">
        <v>1563</v>
      </c>
      <c r="F801" s="226" t="str">
        <f>IF(wskakunin_sekou4__address="", "", wskakunin_sekou4__address)</f>
        <v/>
      </c>
      <c r="H801" s="18"/>
    </row>
    <row r="802" spans="1:8" ht="15" customHeight="1">
      <c r="A802" s="61"/>
      <c r="B802" s="76" t="s">
        <v>264</v>
      </c>
      <c r="C802" s="15" t="s">
        <v>1564</v>
      </c>
      <c r="D802" s="228"/>
      <c r="E802" s="15" t="s">
        <v>1565</v>
      </c>
      <c r="F802" s="226" t="str">
        <f>IF(wskakunin_sekou4_TEL="", "", wskakunin_sekou4_TEL)</f>
        <v/>
      </c>
      <c r="H802" s="18"/>
    </row>
    <row r="803" spans="1:8" ht="15" customHeight="1">
      <c r="A803" s="61"/>
      <c r="B803" s="76"/>
      <c r="D803" s="37"/>
      <c r="F803" s="18"/>
      <c r="H803" s="18"/>
    </row>
    <row r="804" spans="1:8" ht="15" customHeight="1">
      <c r="A804" s="53" t="s">
        <v>1566</v>
      </c>
      <c r="B804" s="728"/>
      <c r="D804" s="37"/>
      <c r="F804" s="18"/>
      <c r="H804" s="18"/>
    </row>
    <row r="805" spans="1:8" ht="15" customHeight="1">
      <c r="A805" s="61"/>
      <c r="B805" s="76" t="s">
        <v>247</v>
      </c>
      <c r="C805" s="15" t="s">
        <v>1567</v>
      </c>
      <c r="D805" s="226"/>
      <c r="E805" s="15" t="s">
        <v>1568</v>
      </c>
      <c r="F805" s="226" t="str">
        <f>IF(wskakunin_sekou5_NAME="", "", wskakunin_sekou5_NAME)</f>
        <v/>
      </c>
      <c r="H805" s="18"/>
    </row>
    <row r="806" spans="1:8" ht="15" customHeight="1">
      <c r="A806" s="61"/>
      <c r="B806" s="76" t="s">
        <v>1494</v>
      </c>
      <c r="C806" s="15" t="s">
        <v>1569</v>
      </c>
      <c r="D806" s="226"/>
      <c r="E806" s="15" t="s">
        <v>1570</v>
      </c>
      <c r="F806" s="226" t="str">
        <f>IF(wskakunin_sekou5_SEKOU__sikaku="", "", wskakunin_sekou5_SEKOU__sikaku)</f>
        <v/>
      </c>
      <c r="H806" s="18"/>
    </row>
    <row r="807" spans="1:8" ht="15" customHeight="1">
      <c r="A807" s="61"/>
      <c r="B807" s="76" t="s">
        <v>1497</v>
      </c>
      <c r="C807" s="15" t="s">
        <v>1571</v>
      </c>
      <c r="D807" s="226"/>
      <c r="E807" s="15" t="s">
        <v>1572</v>
      </c>
      <c r="F807" s="226" t="str">
        <f>IF(wskakunin_sekou5_SEKOU_SIKAKU__label="", "",wskakunin_sekou5_SEKOU_SIKAKU__label)</f>
        <v/>
      </c>
      <c r="H807" s="18"/>
    </row>
    <row r="808" spans="1:8" ht="15" customHeight="1">
      <c r="A808" s="61"/>
      <c r="B808" s="76" t="s">
        <v>1500</v>
      </c>
      <c r="C808" s="15" t="s">
        <v>1573</v>
      </c>
      <c r="D808" s="228"/>
      <c r="E808" s="15" t="s">
        <v>1574</v>
      </c>
      <c r="F808" s="226" t="str">
        <f>IF(wskakunin_sekou5_SEKOU_NO="","",wskakunin_sekou5_SEKOU_NO)</f>
        <v/>
      </c>
      <c r="H808" s="18"/>
    </row>
    <row r="809" spans="1:8" ht="15" customHeight="1">
      <c r="A809" s="61"/>
      <c r="B809" s="76" t="s">
        <v>1503</v>
      </c>
      <c r="C809" s="15" t="s">
        <v>1575</v>
      </c>
      <c r="D809" s="226"/>
      <c r="E809" s="15" t="s">
        <v>1576</v>
      </c>
      <c r="F809" s="226" t="str">
        <f>IF(wskakunin_sekou5_JIMU_NAME="", "", wskakunin_sekou5_JIMU_NAME)</f>
        <v/>
      </c>
      <c r="H809" s="18"/>
    </row>
    <row r="810" spans="1:8" ht="15" customHeight="1">
      <c r="A810" s="61"/>
      <c r="B810" s="76" t="s">
        <v>257</v>
      </c>
      <c r="C810" s="15" t="s">
        <v>1577</v>
      </c>
      <c r="D810" s="228"/>
      <c r="E810" s="15" t="s">
        <v>1578</v>
      </c>
      <c r="F810" s="226" t="str">
        <f>IF(wskakunin_sekou5_ZIP="", "", wskakunin_sekou5_ZIP)</f>
        <v/>
      </c>
      <c r="H810" s="18"/>
    </row>
    <row r="811" spans="1:8" ht="15" customHeight="1">
      <c r="A811" s="61"/>
      <c r="B811" s="76" t="s">
        <v>469</v>
      </c>
      <c r="C811" s="15" t="s">
        <v>1579</v>
      </c>
      <c r="D811" s="226"/>
      <c r="E811" s="15" t="s">
        <v>1580</v>
      </c>
      <c r="F811" s="226" t="str">
        <f>IF(wskakunin_sekou5__address="", "", wskakunin_sekou5__address)</f>
        <v/>
      </c>
      <c r="H811" s="18"/>
    </row>
    <row r="812" spans="1:8" ht="15" customHeight="1">
      <c r="A812" s="61"/>
      <c r="B812" s="76" t="s">
        <v>264</v>
      </c>
      <c r="C812" s="15" t="s">
        <v>1581</v>
      </c>
      <c r="D812" s="228"/>
      <c r="E812" s="15" t="s">
        <v>1582</v>
      </c>
      <c r="F812" s="226" t="str">
        <f>IF(wskakunin_sekou5_TEL="", "", wskakunin_sekou5_TEL)</f>
        <v/>
      </c>
      <c r="H812" s="18"/>
    </row>
    <row r="813" spans="1:8" ht="15" customHeight="1">
      <c r="A813" s="61"/>
      <c r="B813" s="76"/>
      <c r="D813" s="37"/>
      <c r="F813" s="18"/>
      <c r="H813" s="18"/>
    </row>
    <row r="814" spans="1:8" ht="15" customHeight="1">
      <c r="A814" s="53" t="s">
        <v>1583</v>
      </c>
      <c r="B814" s="728"/>
      <c r="D814" s="37"/>
      <c r="F814" s="18"/>
      <c r="H814" s="18"/>
    </row>
    <row r="815" spans="1:8" ht="15" customHeight="1">
      <c r="A815" s="61"/>
      <c r="B815" s="76" t="s">
        <v>247</v>
      </c>
      <c r="C815" s="15" t="s">
        <v>1584</v>
      </c>
      <c r="D815" s="226"/>
      <c r="E815" s="15" t="s">
        <v>1585</v>
      </c>
      <c r="F815" s="226" t="str">
        <f>IF(wskakunin_sekou6_NAME="", "", wskakunin_sekou6_NAME)</f>
        <v/>
      </c>
      <c r="H815" s="18"/>
    </row>
    <row r="816" spans="1:8" ht="15" customHeight="1">
      <c r="A816" s="61"/>
      <c r="B816" s="76" t="s">
        <v>1494</v>
      </c>
      <c r="C816" s="15" t="s">
        <v>1586</v>
      </c>
      <c r="D816" s="226"/>
      <c r="E816" s="15" t="s">
        <v>1587</v>
      </c>
      <c r="F816" s="226" t="str">
        <f>IF(wskakunin_sekou6_SEKOU__sikaku="", "", wskakunin_sekou6_SEKOU__sikaku)</f>
        <v/>
      </c>
      <c r="H816" s="18"/>
    </row>
    <row r="817" spans="1:8" ht="15" customHeight="1">
      <c r="A817" s="61"/>
      <c r="B817" s="76" t="s">
        <v>1497</v>
      </c>
      <c r="C817" s="15" t="s">
        <v>1588</v>
      </c>
      <c r="D817" s="226"/>
      <c r="E817" s="15" t="s">
        <v>1589</v>
      </c>
      <c r="F817" s="226" t="str">
        <f>IF(wskakunin_sekou6_SEKOU_SIKAKU__label="", "",wskakunin_sekou6_SEKOU_SIKAKU__label)</f>
        <v/>
      </c>
      <c r="H817" s="18"/>
    </row>
    <row r="818" spans="1:8" ht="15" customHeight="1">
      <c r="A818" s="61"/>
      <c r="B818" s="76" t="s">
        <v>1500</v>
      </c>
      <c r="C818" s="15" t="s">
        <v>1590</v>
      </c>
      <c r="D818" s="228"/>
      <c r="E818" s="15" t="s">
        <v>1591</v>
      </c>
      <c r="F818" s="226" t="str">
        <f>IF(wskakunin_sekou6_SEKOU_NO="","",wskakunin_sekou6_SEKOU_NO)</f>
        <v/>
      </c>
      <c r="H818" s="18"/>
    </row>
    <row r="819" spans="1:8" ht="15" customHeight="1">
      <c r="A819" s="61"/>
      <c r="B819" s="76" t="s">
        <v>1503</v>
      </c>
      <c r="C819" s="15" t="s">
        <v>1592</v>
      </c>
      <c r="D819" s="226"/>
      <c r="E819" s="15" t="s">
        <v>1593</v>
      </c>
      <c r="F819" s="226" t="str">
        <f>IF(wskakunin_sekou6_JIMU_NAME="", "", wskakunin_sekou6_JIMU_NAME)</f>
        <v/>
      </c>
      <c r="H819" s="18"/>
    </row>
    <row r="820" spans="1:8" ht="15" customHeight="1">
      <c r="A820" s="61"/>
      <c r="B820" s="76" t="s">
        <v>257</v>
      </c>
      <c r="C820" s="15" t="s">
        <v>1594</v>
      </c>
      <c r="D820" s="228"/>
      <c r="E820" s="15" t="s">
        <v>1595</v>
      </c>
      <c r="F820" s="226" t="str">
        <f>IF(wskakunin_sekou6_ZIP="", "", wskakunin_sekou6_ZIP)</f>
        <v/>
      </c>
      <c r="H820" s="18"/>
    </row>
    <row r="821" spans="1:8" ht="15" customHeight="1">
      <c r="A821" s="61"/>
      <c r="B821" s="76" t="s">
        <v>469</v>
      </c>
      <c r="C821" s="15" t="s">
        <v>1596</v>
      </c>
      <c r="D821" s="226"/>
      <c r="E821" s="15" t="s">
        <v>1597</v>
      </c>
      <c r="F821" s="226" t="str">
        <f>IF(wskakunin_sekou6__address="", "", wskakunin_sekou6__address)</f>
        <v/>
      </c>
      <c r="H821" s="18"/>
    </row>
    <row r="822" spans="1:8" ht="15" customHeight="1">
      <c r="A822" s="61"/>
      <c r="B822" s="76" t="s">
        <v>264</v>
      </c>
      <c r="C822" s="15" t="s">
        <v>1598</v>
      </c>
      <c r="D822" s="228"/>
      <c r="E822" s="15" t="s">
        <v>1599</v>
      </c>
      <c r="F822" s="226" t="str">
        <f>IF(wskakunin_sekou6_TEL="", "", wskakunin_sekou6_TEL)</f>
        <v/>
      </c>
      <c r="H822" s="18"/>
    </row>
    <row r="823" spans="1:8" ht="15" customHeight="1">
      <c r="A823" s="61"/>
      <c r="B823" s="76"/>
      <c r="D823" s="37"/>
      <c r="F823" s="18"/>
      <c r="G823" s="18"/>
      <c r="H823" s="18"/>
    </row>
    <row r="824" spans="1:8" ht="15" customHeight="1">
      <c r="A824" s="64" t="s">
        <v>1600</v>
      </c>
      <c r="B824" s="59"/>
      <c r="D824" s="37"/>
      <c r="F824" s="18"/>
      <c r="G824" s="18"/>
      <c r="H824" s="18"/>
    </row>
    <row r="825" spans="1:8" ht="15" customHeight="1">
      <c r="A825" s="61"/>
      <c r="B825" s="54" t="s">
        <v>1601</v>
      </c>
      <c r="D825" s="18"/>
      <c r="E825" s="15" t="s">
        <v>1602</v>
      </c>
      <c r="F825" s="226" t="b">
        <f>IF(ISERROR(FIND("一建設", cst_wskakunin_sekou1_JIMU_NAME)), FALSE, FIND("一建設", cst_wskakunin_sekou1_JIMU_NAME)=1)</f>
        <v>0</v>
      </c>
      <c r="G825" s="18" t="s">
        <v>1603</v>
      </c>
    </row>
    <row r="826" spans="1:8" ht="15" customHeight="1">
      <c r="A826" s="61"/>
      <c r="B826" s="55" t="s">
        <v>1604</v>
      </c>
      <c r="D826" s="18"/>
      <c r="E826" s="15" t="s">
        <v>1605</v>
      </c>
      <c r="F826" s="226">
        <f>IF(ISERROR(FIND("ケイアイスター不動産", cst_wskakunin_sekou1_JIMU_NAME)), 0, 1)</f>
        <v>0</v>
      </c>
      <c r="G826" s="18"/>
      <c r="H826" s="18"/>
    </row>
    <row r="827" spans="1:8" ht="15" customHeight="1">
      <c r="A827" s="62"/>
      <c r="B827" s="56"/>
      <c r="D827" s="18"/>
      <c r="F827" s="18"/>
      <c r="G827" s="18"/>
      <c r="H827" s="18"/>
    </row>
    <row r="828" spans="1:8" ht="15" customHeight="1">
      <c r="A828" s="49" t="s">
        <v>1606</v>
      </c>
      <c r="B828" s="723"/>
      <c r="C828" s="15" t="s">
        <v>1607</v>
      </c>
      <c r="D828" s="141" t="s">
        <v>1608</v>
      </c>
      <c r="E828" s="15" t="s">
        <v>1609</v>
      </c>
      <c r="F828" s="141" t="str">
        <f>IF(wskakunin_BUILD_NAME="", "",wskakunin_BUILD_NAME)</f>
        <v xml:space="preserve"> テスト</v>
      </c>
      <c r="G828" s="18"/>
      <c r="H828" s="18"/>
    </row>
    <row r="829" spans="1:8" ht="15" customHeight="1">
      <c r="A829" s="52"/>
      <c r="B829" s="63" t="s">
        <v>449</v>
      </c>
      <c r="C829" s="15" t="s">
        <v>1610</v>
      </c>
      <c r="D829" s="234"/>
      <c r="E829" s="15" t="s">
        <v>1611</v>
      </c>
      <c r="F829" s="234" t="str">
        <f>IF(wskakunin_BUILD_NAME_KANA="","",wskakunin_BUILD_NAME_KANA)</f>
        <v/>
      </c>
      <c r="G829" s="18"/>
      <c r="H829" s="18"/>
    </row>
    <row r="830" spans="1:8" ht="15" customHeight="1">
      <c r="A830" s="97" t="s">
        <v>1612</v>
      </c>
      <c r="B830" s="729"/>
      <c r="C830" s="15" t="s">
        <v>1613</v>
      </c>
      <c r="D830" s="141"/>
      <c r="E830" s="15" t="s">
        <v>1614</v>
      </c>
      <c r="F830" s="141" t="str">
        <f>IF(wskakunin_P2_BIKOU="","",wskakunin_P2_BIKOU)</f>
        <v/>
      </c>
    </row>
    <row r="831" spans="1:8" ht="15" customHeight="1">
      <c r="A831" s="52"/>
      <c r="B831" s="63"/>
    </row>
    <row r="833" spans="1:8" ht="15" customHeight="1">
      <c r="A833" s="50" t="s">
        <v>1615</v>
      </c>
      <c r="B833" s="726"/>
      <c r="G833" s="18"/>
      <c r="H833" s="18"/>
    </row>
    <row r="834" spans="1:8" ht="15" customHeight="1">
      <c r="A834" s="51"/>
      <c r="B834" s="74" t="s">
        <v>1616</v>
      </c>
      <c r="C834" s="15" t="s">
        <v>1617</v>
      </c>
      <c r="D834" s="141"/>
      <c r="G834" s="18"/>
      <c r="H834" s="18"/>
    </row>
    <row r="835" spans="1:8" ht="15" customHeight="1">
      <c r="A835" s="51"/>
      <c r="B835" s="73" t="s">
        <v>1618</v>
      </c>
      <c r="E835" s="15" t="s">
        <v>1619</v>
      </c>
      <c r="F835" s="47" t="str">
        <f>IF(wskakunin_tekihan01_TEKIHAN_STATE=1,"■","□")</f>
        <v>□</v>
      </c>
      <c r="G835" s="18"/>
      <c r="H835" s="18"/>
    </row>
    <row r="836" spans="1:8" ht="15" customHeight="1">
      <c r="A836" s="51"/>
      <c r="B836" s="73" t="s">
        <v>1620</v>
      </c>
      <c r="E836" s="15" t="s">
        <v>1621</v>
      </c>
      <c r="F836" s="47" t="str">
        <f>IF(wskakunin_tekihan01_TEKIHAN_STATE=2,"■","□")</f>
        <v>□</v>
      </c>
      <c r="G836" s="18"/>
      <c r="H836" s="18"/>
    </row>
    <row r="837" spans="1:8" ht="15" customHeight="1">
      <c r="A837" s="51"/>
      <c r="B837" s="73" t="s">
        <v>1622</v>
      </c>
      <c r="E837" s="15" t="s">
        <v>1623</v>
      </c>
      <c r="F837" s="47" t="str">
        <f>IF(wskakunin_tekihan01_TEKIHAN_STATE=3,"■","□")</f>
        <v>□</v>
      </c>
      <c r="G837" s="18"/>
      <c r="H837" s="18"/>
    </row>
    <row r="838" spans="1:8" ht="15" customHeight="1">
      <c r="A838" s="51"/>
      <c r="B838" s="74" t="s">
        <v>1624</v>
      </c>
      <c r="C838" s="15" t="s">
        <v>1625</v>
      </c>
      <c r="D838" s="141"/>
      <c r="E838" s="15" t="s">
        <v>1626</v>
      </c>
      <c r="F838" s="47" t="str">
        <f>IF(wskakunin_tekihan01_TEKIHAN_KIKAN_NAME="","",wskakunin_tekihan01_TEKIHAN_KIKAN_NAME)</f>
        <v/>
      </c>
      <c r="G838" s="18"/>
      <c r="H838" s="18"/>
    </row>
    <row r="839" spans="1:8" ht="15" customHeight="1">
      <c r="A839" s="51"/>
      <c r="B839" s="74" t="s">
        <v>1627</v>
      </c>
      <c r="C839" s="15" t="s">
        <v>1628</v>
      </c>
      <c r="D839" s="141"/>
      <c r="E839" s="15" t="s">
        <v>1629</v>
      </c>
      <c r="F839" s="47" t="str">
        <f>IF(wskakunin_tekihan01_TEKIHAN_KIKAN_KEN__ken="","",wskakunin_tekihan01_TEKIHAN_KIKAN_KEN__ken)</f>
        <v/>
      </c>
      <c r="G839" s="18"/>
      <c r="H839" s="18"/>
    </row>
    <row r="840" spans="1:8" ht="15" customHeight="1">
      <c r="A840" s="51"/>
      <c r="B840" s="74" t="s">
        <v>1630</v>
      </c>
      <c r="C840" s="15" t="s">
        <v>1631</v>
      </c>
      <c r="D840" s="141"/>
      <c r="E840" s="15" t="s">
        <v>1632</v>
      </c>
      <c r="F840" s="47" t="str">
        <f>IF(wskakunin_tekihan01_TEKIHAN_KIKAN_ADDRESS="","",wskakunin_tekihan01_TEKIHAN_KIKAN_ADDRESS)</f>
        <v/>
      </c>
      <c r="G840" s="18"/>
      <c r="H840" s="18"/>
    </row>
    <row r="841" spans="1:8" ht="15" customHeight="1">
      <c r="A841" s="51"/>
      <c r="B841" s="74" t="s">
        <v>1633</v>
      </c>
      <c r="D841" s="141"/>
      <c r="E841" s="15" t="s">
        <v>1634</v>
      </c>
      <c r="F841" s="47" t="str">
        <f>cst_wskakunin_tekihan01_TEKIHAN_KIKAN_NAME&amp;IF(OR(cst_wskakunin_tekihan01_TEKIHAN_KIKAN_KEN__ken&lt;&gt;"",cst_wskakunin_tekihan01_TEKIHAN_KIKAN_ADDRESS&lt;&gt;""),"  ","")&amp;cst_wskakunin_tekihan01_TEKIHAN_KIKAN_KEN__ken&amp;cst_wskakunin_tekihan01_TEKIHAN_KIKAN_ADDRESS</f>
        <v/>
      </c>
      <c r="G841" s="18"/>
      <c r="H841" s="18"/>
    </row>
    <row r="842" spans="1:8" ht="15" customHeight="1">
      <c r="A842" s="51"/>
      <c r="B842" s="74" t="s">
        <v>1624</v>
      </c>
      <c r="C842" s="15" t="s">
        <v>1635</v>
      </c>
      <c r="D842" s="141"/>
      <c r="E842" s="15" t="s">
        <v>1636</v>
      </c>
      <c r="F842" s="47" t="str">
        <f>IF(wskakunin_tekihan02_TEKIHAN_KIKAN_NAME="","",wskakunin_tekihan02_TEKIHAN_KIKAN_NAME)</f>
        <v/>
      </c>
      <c r="G842" s="18"/>
      <c r="H842" s="18"/>
    </row>
    <row r="843" spans="1:8" ht="15" customHeight="1">
      <c r="A843" s="51"/>
      <c r="B843" s="74" t="s">
        <v>1627</v>
      </c>
      <c r="C843" s="15" t="s">
        <v>1637</v>
      </c>
      <c r="D843" s="141"/>
      <c r="E843" s="15" t="s">
        <v>1638</v>
      </c>
      <c r="F843" s="47" t="str">
        <f>IF(wskakunin_tekihan02_TEKIHAN_KIKAN_KEN__ken="","",wskakunin_tekihan02_TEKIHAN_KIKAN_KEN__ken)</f>
        <v/>
      </c>
      <c r="G843" s="18"/>
      <c r="H843" s="18"/>
    </row>
    <row r="844" spans="1:8" ht="15" customHeight="1">
      <c r="A844" s="51"/>
      <c r="B844" s="74" t="s">
        <v>1630</v>
      </c>
      <c r="C844" s="15" t="s">
        <v>1639</v>
      </c>
      <c r="D844" s="141"/>
      <c r="E844" s="15" t="s">
        <v>1640</v>
      </c>
      <c r="F844" s="47" t="str">
        <f>IF(wskakunin_tekihan02_TEKIHAN_KIKAN_ADDRESS="","",wskakunin_tekihan02_TEKIHAN_KIKAN_ADDRESS)</f>
        <v/>
      </c>
      <c r="G844" s="18"/>
      <c r="H844" s="18"/>
    </row>
    <row r="845" spans="1:8" ht="15" customHeight="1">
      <c r="A845" s="51"/>
      <c r="B845" s="74" t="s">
        <v>1633</v>
      </c>
      <c r="D845" s="141"/>
      <c r="E845" s="15" t="s">
        <v>1641</v>
      </c>
      <c r="F845" s="47" t="str">
        <f>cst_wskakunin_tekihan02_TEKIHAN_KIKAN_NAME&amp;IF(OR(cst_wskakunin_tekihan02_TEKIHAN_KIKAN_KEN__ken&lt;&gt;"",cst_wskakunin_tekihan02_TEKIHAN_KIKAN_ADDRESS&lt;&gt;""),"  ","")&amp;cst_wskakunin_tekihan02_TEKIHAN_KIKAN_KEN__ken&amp;cst_wskakunin_tekihan02_TEKIHAN_KIKAN_ADDRESS</f>
        <v/>
      </c>
      <c r="G845" s="18"/>
      <c r="H845" s="18"/>
    </row>
    <row r="846" spans="1:8" ht="15" customHeight="1">
      <c r="A846" s="51"/>
      <c r="B846" s="75"/>
      <c r="G846" s="18"/>
      <c r="H846" s="18"/>
    </row>
    <row r="847" spans="1:8" ht="15" customHeight="1">
      <c r="A847" s="50" t="s">
        <v>1642</v>
      </c>
      <c r="B847" s="726"/>
      <c r="G847" s="18"/>
      <c r="H847" s="18"/>
    </row>
    <row r="848" spans="1:8" ht="15" customHeight="1">
      <c r="A848" s="51"/>
      <c r="B848" s="73" t="s">
        <v>1643</v>
      </c>
      <c r="C848" s="15" t="s">
        <v>1644</v>
      </c>
      <c r="D848" s="47"/>
      <c r="G848" s="18"/>
      <c r="H848" s="18"/>
    </row>
    <row r="849" spans="1:8" ht="15" customHeight="1">
      <c r="A849" s="51"/>
      <c r="B849" s="73" t="s">
        <v>1645</v>
      </c>
      <c r="E849" s="15" t="s">
        <v>1646</v>
      </c>
      <c r="F849" s="47" t="str">
        <f>IF(wskakunin_ecotekihan01_TEKIHAN_STATE=1,"■","□")</f>
        <v>□</v>
      </c>
      <c r="G849" s="18">
        <v>1</v>
      </c>
      <c r="H849" s="18"/>
    </row>
    <row r="850" spans="1:8" ht="15" customHeight="1">
      <c r="A850" s="51"/>
      <c r="B850" s="73" t="s">
        <v>1647</v>
      </c>
      <c r="E850" s="15" t="s">
        <v>1648</v>
      </c>
      <c r="F850" s="47" t="str">
        <f>IF(wskakunin_ecotekihan01_TEKIHAN_STATE=2,"■","□")</f>
        <v>□</v>
      </c>
      <c r="G850" s="18">
        <v>2</v>
      </c>
      <c r="H850" s="18"/>
    </row>
    <row r="851" spans="1:8" ht="15" customHeight="1">
      <c r="A851" s="51"/>
      <c r="B851" s="73" t="s">
        <v>1649</v>
      </c>
      <c r="E851" s="15" t="s">
        <v>1650</v>
      </c>
      <c r="F851" s="47" t="str">
        <f>IF(wskakunin_ecotekihan01_TEKIHAN_STATE=3,"■","□")</f>
        <v>□</v>
      </c>
      <c r="G851" s="18">
        <v>3</v>
      </c>
      <c r="H851" s="18"/>
    </row>
    <row r="852" spans="1:8" ht="15" customHeight="1">
      <c r="A852" s="51"/>
      <c r="B852" s="74" t="s">
        <v>1624</v>
      </c>
      <c r="C852" s="15" t="s">
        <v>1651</v>
      </c>
      <c r="D852" s="47"/>
      <c r="E852" s="15" t="s">
        <v>1652</v>
      </c>
      <c r="F852" s="47" t="str">
        <f>IF(wskakunin_ecotekihan01_TEKIHAN_KIKAN_NAME="","",wskakunin_ecotekihan01_TEKIHAN_KIKAN_NAME)</f>
        <v/>
      </c>
      <c r="G852" s="18"/>
      <c r="H852" s="18"/>
    </row>
    <row r="853" spans="1:8" ht="15" customHeight="1">
      <c r="A853" s="51"/>
      <c r="B853" s="74" t="s">
        <v>1627</v>
      </c>
      <c r="C853" s="15" t="s">
        <v>1653</v>
      </c>
      <c r="D853" s="47"/>
      <c r="E853" s="15" t="s">
        <v>1654</v>
      </c>
      <c r="F853" s="47" t="str">
        <f>IF(wskakunin_ecotekihan01_TEKIHAN_KIKAN_KEN__ken="","",wskakunin_ecotekihan01_TEKIHAN_KIKAN_KEN__ken)</f>
        <v/>
      </c>
      <c r="G853" s="18"/>
      <c r="H853" s="18"/>
    </row>
    <row r="854" spans="1:8" ht="15" customHeight="1">
      <c r="A854" s="51"/>
      <c r="B854" s="74" t="s">
        <v>1630</v>
      </c>
      <c r="C854" s="15" t="s">
        <v>1655</v>
      </c>
      <c r="D854" s="47"/>
      <c r="E854" s="15" t="s">
        <v>1656</v>
      </c>
      <c r="F854" s="47" t="str">
        <f>IF(wskakunin_ecotekihan01_TEKIHAN_KIKAN_ADDRESS="","",wskakunin_ecotekihan01_TEKIHAN_KIKAN_ADDRESS)</f>
        <v/>
      </c>
      <c r="G854" s="18"/>
      <c r="H854" s="18"/>
    </row>
    <row r="855" spans="1:8" ht="15" customHeight="1">
      <c r="A855" s="51"/>
      <c r="B855" s="74"/>
      <c r="G855" s="18"/>
      <c r="H855" s="18"/>
    </row>
    <row r="856" spans="1:8" ht="15" customHeight="1">
      <c r="A856" s="51"/>
      <c r="B856" s="74" t="s">
        <v>1657</v>
      </c>
      <c r="E856" s="15" t="s">
        <v>1658</v>
      </c>
      <c r="F856" s="47" t="str">
        <f>IF(wskakunin_ecotekihan01_TEKIHAN_STATE=1,cst_wskakunin_ecotekihan01_TEKIHAN_KIKAN_NAME&amp;IF(OR(cst_wskakunin_ecotekihan01_TEKIHAN_KIKAN_KEN__ken&lt;&gt;"",cst_wskakunin_ecotekihan01_TEKIHAN_KIKAN_ADDRESS&lt;&gt;""),"  ","")&amp;cst_wskakunin_ecotekihan01_TEKIHAN_KIKAN_KEN__ken&amp;cst_wskakunin_ecotekihan01_TEKIHAN_KIKAN_ADDRESS,"")</f>
        <v/>
      </c>
      <c r="G856" s="18"/>
      <c r="H856" s="18"/>
    </row>
    <row r="857" spans="1:8" ht="15" customHeight="1">
      <c r="A857" s="51"/>
      <c r="B857" s="74" t="s">
        <v>1659</v>
      </c>
      <c r="E857" s="15" t="s">
        <v>1660</v>
      </c>
      <c r="F857" s="47" t="str">
        <f>IF(wskakunin_ecotekihan01_TEKIHAN_STATE=2,cst_wskakunin_ecotekihan01_TEKIHAN_KIKAN_NAME&amp;IF(OR(cst_wskakunin_ecotekihan01_TEKIHAN_KIKAN_KEN__ken&lt;&gt;"",cst_wskakunin_ecotekihan01_TEKIHAN_KIKAN_ADDRESS&lt;&gt;""),"  ","")&amp;cst_wskakunin_ecotekihan01_TEKIHAN_KIKAN_KEN__ken&amp;cst_wskakunin_ecotekihan01_TEKIHAN_KIKAN_ADDRESS,"")</f>
        <v/>
      </c>
      <c r="G857" s="18"/>
      <c r="H857" s="18"/>
    </row>
    <row r="858" spans="1:8" ht="15" customHeight="1">
      <c r="A858" s="51"/>
      <c r="B858" s="74" t="s">
        <v>1661</v>
      </c>
      <c r="C858" s="15" t="s">
        <v>1662</v>
      </c>
      <c r="D858" s="47"/>
      <c r="E858" s="15" t="s">
        <v>1663</v>
      </c>
      <c r="F858" s="47" t="str">
        <f>IF(wskakunin_ecotekihan01_FUYOU_CAUSE="","",wskakunin_ecotekihan01_FUYOU_CAUSE)</f>
        <v/>
      </c>
      <c r="G858" s="18"/>
      <c r="H858" s="18"/>
    </row>
    <row r="859" spans="1:8" ht="15" customHeight="1">
      <c r="A859" s="52"/>
      <c r="B859" s="75"/>
      <c r="G859" s="18"/>
      <c r="H859" s="18"/>
    </row>
    <row r="860" spans="1:8" ht="15" customHeight="1">
      <c r="G860" s="18"/>
      <c r="H860" s="18"/>
    </row>
    <row r="861" spans="1:8" ht="15" customHeight="1">
      <c r="A861" s="53" t="s">
        <v>1664</v>
      </c>
      <c r="B861" s="727"/>
      <c r="G861" s="18"/>
      <c r="H861" s="18"/>
    </row>
    <row r="862" spans="1:8" ht="15" customHeight="1">
      <c r="A862" s="198" t="s">
        <v>1665</v>
      </c>
      <c r="B862" s="76" t="s">
        <v>1666</v>
      </c>
      <c r="C862" s="15" t="s">
        <v>1667</v>
      </c>
      <c r="D862" s="226"/>
      <c r="E862" s="15" t="s">
        <v>1668</v>
      </c>
      <c r="F862" s="226" t="str">
        <f>IF(wskakunin_p4_1_youto1_YOUTO="", "", wskakunin_p4_1_youto1_YOUTO)</f>
        <v/>
      </c>
      <c r="G862" s="18"/>
      <c r="H862" s="18"/>
    </row>
    <row r="863" spans="1:8" ht="15" customHeight="1">
      <c r="A863" s="109"/>
      <c r="B863" s="76" t="s">
        <v>1669</v>
      </c>
      <c r="C863" s="15" t="s">
        <v>1670</v>
      </c>
      <c r="D863" s="228"/>
      <c r="E863" s="15" t="s">
        <v>1671</v>
      </c>
      <c r="F863" s="226" t="str">
        <f>IF(wskakunin_p4_1_youto1_YOUTO_CODE="","",wskakunin_p4_1_youto1_YOUTO_CODE)</f>
        <v/>
      </c>
      <c r="G863" s="18"/>
      <c r="H863" s="18"/>
    </row>
    <row r="864" spans="1:8" ht="15" customHeight="1">
      <c r="A864" s="109"/>
      <c r="B864" s="76" t="s">
        <v>1672</v>
      </c>
      <c r="C864" s="103"/>
      <c r="D864" s="228"/>
      <c r="E864" s="15" t="s">
        <v>1673</v>
      </c>
      <c r="F864" s="226"/>
      <c r="G864" s="18"/>
      <c r="H864" s="18"/>
    </row>
    <row r="865" spans="1:8" ht="15" customHeight="1">
      <c r="A865" s="109"/>
      <c r="B865" s="76" t="s">
        <v>1674</v>
      </c>
      <c r="C865" s="103"/>
      <c r="D865" s="228"/>
      <c r="E865" s="15" t="s">
        <v>1675</v>
      </c>
      <c r="F865" s="226"/>
      <c r="G865" s="18"/>
      <c r="H865" s="18"/>
    </row>
    <row r="866" spans="1:8" ht="15" customHeight="1">
      <c r="A866" s="109"/>
      <c r="B866" s="76" t="s">
        <v>1676</v>
      </c>
      <c r="C866" s="103"/>
      <c r="D866" s="228"/>
      <c r="E866" s="15" t="s">
        <v>1677</v>
      </c>
      <c r="F866" s="226"/>
      <c r="G866" s="18"/>
      <c r="H866" s="18"/>
    </row>
    <row r="867" spans="1:8" ht="15" customHeight="1">
      <c r="A867" s="109"/>
      <c r="B867" s="76" t="s">
        <v>1678</v>
      </c>
      <c r="C867" s="103"/>
      <c r="D867" s="228"/>
      <c r="E867" s="15" t="s">
        <v>1679</v>
      </c>
      <c r="F867" s="226"/>
      <c r="G867" s="18"/>
      <c r="H867" s="18"/>
    </row>
    <row r="868" spans="1:8" ht="15" customHeight="1">
      <c r="A868" s="109"/>
      <c r="B868" s="76" t="s">
        <v>1680</v>
      </c>
      <c r="C868" s="103"/>
      <c r="D868" s="228"/>
      <c r="E868" s="15" t="s">
        <v>1681</v>
      </c>
      <c r="F868" s="226"/>
      <c r="G868" s="18"/>
      <c r="H868" s="18"/>
    </row>
    <row r="869" spans="1:8" ht="15" customHeight="1">
      <c r="A869" s="109"/>
      <c r="B869" s="76" t="s">
        <v>1682</v>
      </c>
      <c r="C869" s="103"/>
      <c r="D869" s="228"/>
      <c r="E869" s="15" t="s">
        <v>1683</v>
      </c>
      <c r="F869" s="226"/>
      <c r="G869" s="18"/>
      <c r="H869" s="18"/>
    </row>
    <row r="870" spans="1:8" ht="15" customHeight="1">
      <c r="A870" s="109"/>
      <c r="B870" s="76" t="s">
        <v>1684</v>
      </c>
      <c r="C870" s="103"/>
      <c r="D870" s="228"/>
      <c r="E870" s="15" t="s">
        <v>1685</v>
      </c>
      <c r="F870" s="236" t="str">
        <f>IF(D863="08010","○","")</f>
        <v/>
      </c>
      <c r="G870" s="18"/>
      <c r="H870" s="18"/>
    </row>
    <row r="871" spans="1:8" ht="15" customHeight="1">
      <c r="A871" s="61"/>
      <c r="B871" s="76" t="s">
        <v>1686</v>
      </c>
      <c r="C871" s="15" t="s">
        <v>1687</v>
      </c>
      <c r="D871" s="226"/>
      <c r="E871" s="15" t="s">
        <v>1688</v>
      </c>
      <c r="F871" s="226" t="str">
        <f>IF(wskakunin_p4_1__kouji="", "", wskakunin_p4_1__kouji)</f>
        <v/>
      </c>
      <c r="G871" s="18"/>
      <c r="H871" s="18"/>
    </row>
    <row r="872" spans="1:8" ht="15" customHeight="1">
      <c r="A872" s="61"/>
      <c r="B872" s="76" t="s">
        <v>1689</v>
      </c>
      <c r="C872" s="15" t="s">
        <v>1690</v>
      </c>
      <c r="D872" s="226"/>
      <c r="E872" s="15" t="s">
        <v>1691</v>
      </c>
      <c r="F872" s="226" t="str">
        <f>IF(wskakunin_p4_1_KAISU_TIKAI_NOZOKU="", "", wskakunin_p4_1_KAISU_TIKAI_NOZOKU)</f>
        <v/>
      </c>
      <c r="G872" s="18"/>
      <c r="H872" s="18"/>
    </row>
    <row r="873" spans="1:8" ht="15" customHeight="1">
      <c r="A873" s="61"/>
      <c r="B873" s="76" t="s">
        <v>1692</v>
      </c>
      <c r="C873" s="15" t="s">
        <v>1693</v>
      </c>
      <c r="D873" s="226"/>
      <c r="E873" s="15" t="s">
        <v>1694</v>
      </c>
      <c r="F873" s="226" t="str">
        <f>IF(wskakunin_p4_1_KAISU_TIKAI="", "", wskakunin_p4_1_KAISU_TIKAI)</f>
        <v/>
      </c>
      <c r="G873" s="18"/>
      <c r="H873" s="18"/>
    </row>
    <row r="874" spans="1:8" ht="15" customHeight="1">
      <c r="A874" s="61"/>
      <c r="B874" s="76" t="s">
        <v>1695</v>
      </c>
      <c r="C874" s="15" t="s">
        <v>1696</v>
      </c>
      <c r="D874" s="226"/>
      <c r="E874" s="15" t="s">
        <v>1697</v>
      </c>
      <c r="F874" s="226" t="str">
        <f>IF(wskakunin_p4_1_KOUZOU1="", "", wskakunin_p4_1_KOUZOU1)</f>
        <v/>
      </c>
      <c r="G874" s="18"/>
      <c r="H874" s="18"/>
    </row>
    <row r="875" spans="1:8" ht="15" customHeight="1">
      <c r="A875" s="61"/>
      <c r="B875" s="76" t="s">
        <v>1698</v>
      </c>
      <c r="C875" s="15" t="s">
        <v>1699</v>
      </c>
      <c r="D875" s="226"/>
      <c r="E875" s="15" t="s">
        <v>1700</v>
      </c>
      <c r="F875" s="226" t="str">
        <f>IF(wskakunin_p4_1_KOUZOU2="", "", wskakunin_p4_1_KOUZOU2)</f>
        <v/>
      </c>
      <c r="G875" s="18"/>
      <c r="H875" s="18"/>
    </row>
    <row r="876" spans="1:8" ht="15" customHeight="1">
      <c r="A876" s="61"/>
      <c r="B876" s="76" t="s">
        <v>1701</v>
      </c>
      <c r="C876" s="15" t="s">
        <v>1702</v>
      </c>
      <c r="D876" s="235"/>
      <c r="E876" s="15" t="s">
        <v>1703</v>
      </c>
      <c r="F876" s="226" t="str">
        <f>IF(wskakunin_p4_1_TAKASA_MAX="", "", wskakunin_p4_1_TAKASA_MAX)</f>
        <v/>
      </c>
      <c r="G876" s="18"/>
      <c r="H876" s="18"/>
    </row>
    <row r="877" spans="1:8" ht="15" customHeight="1">
      <c r="A877" s="61"/>
      <c r="B877" s="76" t="s">
        <v>1704</v>
      </c>
      <c r="C877" s="15" t="s">
        <v>1705</v>
      </c>
      <c r="D877" s="235"/>
      <c r="E877" s="15" t="s">
        <v>1706</v>
      </c>
      <c r="F877" s="226" t="str">
        <f>IF(wskakunin_p4_1_TAKASA_KEN_MAX="", "", wskakunin_p4_1_TAKASA_KEN_MAX)</f>
        <v/>
      </c>
      <c r="G877" s="18"/>
      <c r="H877" s="18"/>
    </row>
    <row r="878" spans="1:8" ht="15" customHeight="1">
      <c r="A878" s="61"/>
      <c r="B878" s="54" t="s">
        <v>1707</v>
      </c>
      <c r="C878" s="15" t="s">
        <v>1708</v>
      </c>
      <c r="D878" s="235"/>
      <c r="E878" s="15" t="s">
        <v>1709</v>
      </c>
      <c r="F878" s="226" t="str">
        <f>IF(wskakunin_p4_1_YUKA_MENSEKI_SHINSEI="","",wskakunin_p4_1_YUKA_MENSEKI_SHINSEI)</f>
        <v/>
      </c>
      <c r="G878" s="18"/>
      <c r="H878" s="18"/>
    </row>
    <row r="879" spans="1:8" ht="15" customHeight="1">
      <c r="A879" s="62"/>
      <c r="B879" s="111"/>
      <c r="D879" s="196"/>
      <c r="F879" s="18"/>
      <c r="G879" s="18"/>
      <c r="H879" s="18"/>
    </row>
    <row r="880" spans="1:8" ht="15" customHeight="1">
      <c r="A880" s="197" t="s">
        <v>1710</v>
      </c>
      <c r="B880" s="76" t="s">
        <v>1689</v>
      </c>
      <c r="C880" s="15" t="s">
        <v>1711</v>
      </c>
      <c r="D880" s="235"/>
      <c r="E880" s="15" t="s">
        <v>1712</v>
      </c>
      <c r="F880" s="226" t="str">
        <f>IF(wskakunin_p4_2_KAISU_TIKAI_NOZOKU="","",wskakunin_p4_2_KAISU_TIKAI_NOZOKU)</f>
        <v/>
      </c>
      <c r="G880" s="18"/>
      <c r="H880" s="18"/>
    </row>
    <row r="881" spans="1:8" ht="15" customHeight="1">
      <c r="A881" s="61"/>
      <c r="B881" s="76" t="s">
        <v>1692</v>
      </c>
      <c r="C881" s="15" t="s">
        <v>1713</v>
      </c>
      <c r="D881" s="235"/>
      <c r="E881" s="15" t="s">
        <v>1714</v>
      </c>
      <c r="F881" s="226" t="str">
        <f>IF(wskakunin_p4_2_KAISU_TIKAI="","",wskakunin_p4_2_KAISU_TIKAI)</f>
        <v/>
      </c>
      <c r="G881" s="18"/>
      <c r="H881" s="18"/>
    </row>
    <row r="882" spans="1:8" ht="15" customHeight="1">
      <c r="A882" s="61"/>
      <c r="B882" s="54" t="s">
        <v>1707</v>
      </c>
      <c r="C882" s="15" t="s">
        <v>1715</v>
      </c>
      <c r="D882" s="235"/>
      <c r="E882" s="15" t="s">
        <v>1716</v>
      </c>
      <c r="F882" s="226" t="str">
        <f>IF(wskakunin_p4_2_YUKA_MENSEKI_SHINSEI="","",wskakunin_p4_2_YUKA_MENSEKI_SHINSEI)</f>
        <v/>
      </c>
      <c r="G882" s="18"/>
      <c r="H882" s="18"/>
    </row>
    <row r="883" spans="1:8" ht="15" customHeight="1">
      <c r="A883" s="62"/>
      <c r="B883" s="111"/>
      <c r="D883" s="196"/>
      <c r="F883" s="18"/>
      <c r="G883" s="18"/>
      <c r="H883" s="18"/>
    </row>
    <row r="884" spans="1:8" ht="15" customHeight="1">
      <c r="A884" s="197" t="s">
        <v>1717</v>
      </c>
      <c r="B884" s="76" t="s">
        <v>1689</v>
      </c>
      <c r="C884" s="15" t="s">
        <v>1718</v>
      </c>
      <c r="D884" s="235"/>
      <c r="E884" s="15" t="s">
        <v>1719</v>
      </c>
      <c r="F884" s="226" t="str">
        <f>IF(wskakunin_p4_3_KAISU_TIKAI_NOZOKU="","",wskakunin_p4_3_KAISU_TIKAI_NOZOKU)</f>
        <v/>
      </c>
      <c r="G884" s="18"/>
      <c r="H884" s="18"/>
    </row>
    <row r="885" spans="1:8" ht="15" customHeight="1">
      <c r="A885" s="61"/>
      <c r="B885" s="76" t="s">
        <v>1692</v>
      </c>
      <c r="C885" s="15" t="s">
        <v>1720</v>
      </c>
      <c r="D885" s="235"/>
      <c r="E885" s="15" t="s">
        <v>1721</v>
      </c>
      <c r="F885" s="226" t="str">
        <f>IF(wskakunin_p4_3_KAISU_TIKAI="","",wskakunin_p4_3_KAISU_TIKAI)</f>
        <v/>
      </c>
      <c r="G885" s="18"/>
      <c r="H885" s="18"/>
    </row>
    <row r="886" spans="1:8" ht="15" customHeight="1">
      <c r="A886" s="61"/>
      <c r="B886" s="54" t="s">
        <v>1707</v>
      </c>
      <c r="C886" s="15" t="s">
        <v>1722</v>
      </c>
      <c r="D886" s="235"/>
      <c r="E886" s="15" t="s">
        <v>1723</v>
      </c>
      <c r="F886" s="226" t="str">
        <f>IF(wskakunin_p4_3_YUKA_MENSEKI_SHINSEI="","",wskakunin_p4_3_YUKA_MENSEKI_SHINSEI)</f>
        <v/>
      </c>
      <c r="G886" s="18"/>
      <c r="H886" s="18"/>
    </row>
    <row r="887" spans="1:8" ht="15" customHeight="1">
      <c r="A887" s="62"/>
      <c r="B887" s="111"/>
      <c r="D887" s="196"/>
      <c r="F887" s="18"/>
      <c r="G887" s="18"/>
      <c r="H887" s="18"/>
    </row>
    <row r="889" spans="1:8" ht="15" customHeight="1">
      <c r="A889" s="58" t="s">
        <v>1724</v>
      </c>
      <c r="B889" s="104"/>
      <c r="G889" s="18"/>
      <c r="H889" s="18"/>
    </row>
    <row r="890" spans="1:8" ht="15" customHeight="1">
      <c r="A890" s="49" t="s">
        <v>1725</v>
      </c>
      <c r="B890" s="726"/>
      <c r="G890" s="18"/>
      <c r="H890" s="18"/>
    </row>
    <row r="891" spans="1:8" ht="15" customHeight="1">
      <c r="A891" s="83"/>
      <c r="B891" s="77" t="s">
        <v>1726</v>
      </c>
      <c r="C891" s="15" t="s">
        <v>1727</v>
      </c>
      <c r="D891" s="141"/>
      <c r="E891" s="15" t="s">
        <v>1728</v>
      </c>
      <c r="F891" s="141" t="str">
        <f>IF(wskakunin_BUILD__address="", "", wskakunin_BUILD__address)</f>
        <v/>
      </c>
      <c r="G891" s="18"/>
      <c r="H891" s="18"/>
    </row>
    <row r="892" spans="1:8" ht="15" customHeight="1">
      <c r="A892" s="83"/>
      <c r="B892" s="139" t="s">
        <v>1729</v>
      </c>
      <c r="C892" s="15" t="s">
        <v>1730</v>
      </c>
      <c r="D892" s="141"/>
      <c r="E892" s="15" t="s">
        <v>1731</v>
      </c>
      <c r="F892" s="141" t="str">
        <f>IF(wskakunin_BUILD_KEN__ken="","",wskakunin_BUILD_KEN__ken)</f>
        <v/>
      </c>
      <c r="G892" s="18"/>
      <c r="H892" s="18"/>
    </row>
    <row r="893" spans="1:8" ht="15" customHeight="1">
      <c r="A893" s="83"/>
      <c r="B893" s="139" t="s">
        <v>1732</v>
      </c>
      <c r="C893" s="15" t="s">
        <v>1733</v>
      </c>
      <c r="D893" s="141"/>
      <c r="E893" s="15" t="s">
        <v>1734</v>
      </c>
      <c r="F893" s="141" t="str">
        <f>IF(wskakunin_BUILD_ADDRESS="","",wskakunin_BUILD_ADDRESS)</f>
        <v/>
      </c>
      <c r="G893" s="18"/>
      <c r="H893" s="18"/>
    </row>
    <row r="894" spans="1:8" ht="15" customHeight="1">
      <c r="A894" s="84"/>
      <c r="B894" s="85"/>
      <c r="D894" s="18"/>
      <c r="F894" s="18"/>
      <c r="G894" s="18"/>
      <c r="H894" s="18"/>
    </row>
    <row r="895" spans="1:8" ht="15" customHeight="1">
      <c r="A895" s="49" t="s">
        <v>1735</v>
      </c>
      <c r="B895" s="726"/>
      <c r="G895" s="18"/>
      <c r="H895" s="18"/>
    </row>
    <row r="896" spans="1:8" ht="15" customHeight="1">
      <c r="A896" s="83"/>
      <c r="B896" s="77" t="s">
        <v>261</v>
      </c>
      <c r="C896" s="15" t="s">
        <v>1736</v>
      </c>
      <c r="D896" s="47"/>
      <c r="E896" s="15" t="s">
        <v>1737</v>
      </c>
      <c r="F896" s="47" t="str">
        <f>IF(wskakunin_BUILD_JYUKYO__address="","",wskakunin_BUILD_JYUKYO__address)</f>
        <v/>
      </c>
      <c r="G896" s="18"/>
      <c r="H896" s="18"/>
    </row>
    <row r="897" spans="1:8" ht="15" customHeight="1">
      <c r="A897" s="83"/>
      <c r="B897" s="139" t="s">
        <v>1729</v>
      </c>
      <c r="C897" s="15" t="s">
        <v>1738</v>
      </c>
      <c r="D897" s="47"/>
      <c r="E897" s="15" t="s">
        <v>1739</v>
      </c>
      <c r="F897" s="47" t="str">
        <f>IF(wskakunin_BUILD_JYUKYO_KEN__ken="","",wskakunin_BUILD_JYUKYO_KEN__ken)</f>
        <v/>
      </c>
      <c r="G897" s="18"/>
      <c r="H897" s="18"/>
    </row>
    <row r="898" spans="1:8" ht="15" customHeight="1">
      <c r="A898" s="83"/>
      <c r="B898" s="139" t="s">
        <v>1732</v>
      </c>
      <c r="C898" s="15" t="s">
        <v>1740</v>
      </c>
      <c r="D898" s="141"/>
      <c r="E898" s="15" t="s">
        <v>1741</v>
      </c>
      <c r="F898" s="141" t="str">
        <f>IF(wskakunin_BUILD_JYUKYO_ADDRESS="","",wskakunin_BUILD_JYUKYO_ADDRESS)</f>
        <v/>
      </c>
      <c r="G898" s="18"/>
      <c r="H898" s="18"/>
    </row>
    <row r="899" spans="1:8" ht="15" customHeight="1">
      <c r="A899" s="84"/>
      <c r="B899" s="85"/>
      <c r="D899" s="18"/>
      <c r="F899" s="18"/>
      <c r="G899" s="18"/>
      <c r="H899" s="18"/>
    </row>
    <row r="900" spans="1:8" ht="15" customHeight="1">
      <c r="A900" s="1" t="s">
        <v>1742</v>
      </c>
      <c r="B900" s="726"/>
      <c r="G900" s="18"/>
      <c r="H900" s="18"/>
    </row>
    <row r="901" spans="1:8" ht="15" customHeight="1">
      <c r="A901" s="7"/>
      <c r="B901" s="77" t="s">
        <v>1743</v>
      </c>
      <c r="C901" s="15" t="s">
        <v>1744</v>
      </c>
      <c r="D901" s="141"/>
      <c r="E901" s="15" t="s">
        <v>1745</v>
      </c>
      <c r="F901" s="141" t="str">
        <f>IF(wskakunin_KUIKI_TOSI=1,"■","□")</f>
        <v>□</v>
      </c>
      <c r="H901" s="18"/>
    </row>
    <row r="902" spans="1:8" ht="15" customHeight="1">
      <c r="A902" s="7"/>
      <c r="B902" s="77" t="s">
        <v>1746</v>
      </c>
      <c r="C902" s="15" t="s">
        <v>1747</v>
      </c>
      <c r="D902" s="141"/>
      <c r="E902" s="15" t="s">
        <v>1748</v>
      </c>
      <c r="F902" s="141" t="str">
        <f>IF(wskakunin__kuiki="", "", wskakunin__kuiki)</f>
        <v/>
      </c>
      <c r="G902" s="18"/>
      <c r="H902" s="18"/>
    </row>
    <row r="903" spans="1:8" ht="15" customHeight="1">
      <c r="A903" s="7"/>
      <c r="B903" s="77"/>
      <c r="D903" s="18"/>
      <c r="E903" s="15" t="s">
        <v>1749</v>
      </c>
      <c r="F903" s="141" t="str">
        <f>IF(cst_wskakunin__kuiki="都市計画区域内","■","□")</f>
        <v>□</v>
      </c>
      <c r="G903" s="18"/>
      <c r="H903" s="18"/>
    </row>
    <row r="904" spans="1:8" ht="15" customHeight="1">
      <c r="A904" s="7"/>
      <c r="B904" s="77" t="s">
        <v>1750</v>
      </c>
      <c r="C904" s="15" t="s">
        <v>1751</v>
      </c>
      <c r="D904" s="141"/>
      <c r="E904" s="15" t="s">
        <v>1752</v>
      </c>
      <c r="F904" s="141" t="str">
        <f>IF(wskakunin_KUIKI_SIGAIKA=1,"■","□")</f>
        <v>□</v>
      </c>
      <c r="G904" s="18"/>
      <c r="H904" s="18"/>
    </row>
    <row r="905" spans="1:8" ht="15" customHeight="1">
      <c r="A905" s="7"/>
      <c r="B905" s="77" t="s">
        <v>1753</v>
      </c>
      <c r="C905" s="15" t="s">
        <v>1754</v>
      </c>
      <c r="D905" s="141"/>
      <c r="E905" s="15" t="s">
        <v>1755</v>
      </c>
      <c r="F905" s="141" t="str">
        <f>IF(wskakunin__tosi_kuiki="", "", wskakunin__tosi_kuiki)</f>
        <v/>
      </c>
      <c r="G905" s="18"/>
      <c r="H905" s="18"/>
    </row>
    <row r="906" spans="1:8" ht="15" customHeight="1">
      <c r="A906" s="7"/>
      <c r="B906" s="77" t="s">
        <v>1756</v>
      </c>
      <c r="C906" s="15" t="s">
        <v>1757</v>
      </c>
      <c r="D906" s="141"/>
      <c r="E906" s="15" t="s">
        <v>1758</v>
      </c>
      <c r="F906" s="141" t="str">
        <f>IF(wskakunin_KUIKI_TYOSEI=1,"■","□")</f>
        <v>□</v>
      </c>
      <c r="H906" s="18"/>
    </row>
    <row r="907" spans="1:8" ht="15" customHeight="1">
      <c r="A907" s="7"/>
      <c r="B907" s="77" t="s">
        <v>1759</v>
      </c>
      <c r="C907" s="15" t="s">
        <v>1760</v>
      </c>
      <c r="D907" s="141"/>
      <c r="E907" s="15" t="s">
        <v>1761</v>
      </c>
      <c r="F907" s="141" t="str">
        <f>IF(wskakunin_KUIKI_HISETTEI=1,"■","□")</f>
        <v>□</v>
      </c>
      <c r="H907" s="18"/>
    </row>
    <row r="908" spans="1:8" ht="15" customHeight="1">
      <c r="A908" s="7"/>
      <c r="B908" s="77" t="s">
        <v>1762</v>
      </c>
      <c r="C908" s="15" t="s">
        <v>1763</v>
      </c>
      <c r="D908" s="141"/>
      <c r="E908" s="15" t="s">
        <v>1764</v>
      </c>
      <c r="F908" s="141" t="str">
        <f>IF(wskakunin_KUIKI_JYUN_TOSHI=1,"■","□")</f>
        <v>□</v>
      </c>
      <c r="H908" s="18"/>
    </row>
    <row r="909" spans="1:8" ht="15" customHeight="1">
      <c r="A909" s="7"/>
      <c r="B909" s="74" t="s">
        <v>1765</v>
      </c>
      <c r="C909" s="15" t="s">
        <v>1766</v>
      </c>
      <c r="D909" s="141"/>
      <c r="E909" s="15" t="s">
        <v>1767</v>
      </c>
      <c r="F909" s="141" t="str">
        <f>IF(wskakunin_KUIKI_KUIKIGAI=1,"■","□")</f>
        <v>□</v>
      </c>
      <c r="H909" s="18"/>
    </row>
    <row r="910" spans="1:8" ht="15" customHeight="1">
      <c r="A910" s="8"/>
      <c r="B910" s="75"/>
      <c r="D910" s="18"/>
      <c r="F910" s="18"/>
      <c r="H910" s="18"/>
    </row>
    <row r="911" spans="1:8" ht="15" customHeight="1">
      <c r="A911" s="1" t="s">
        <v>1768</v>
      </c>
      <c r="B911" s="722"/>
      <c r="C911" s="15" t="s">
        <v>1769</v>
      </c>
      <c r="D911" s="141"/>
      <c r="E911" s="15" t="s">
        <v>1770</v>
      </c>
      <c r="F911" s="141" t="str">
        <f>IF(wskakunin__bouka="", "", wskakunin__bouka)</f>
        <v/>
      </c>
      <c r="H911" s="18"/>
    </row>
    <row r="912" spans="1:8" ht="15" customHeight="1">
      <c r="A912" s="7"/>
      <c r="B912" s="71" t="s">
        <v>1771</v>
      </c>
      <c r="C912" s="15" t="s">
        <v>1772</v>
      </c>
      <c r="D912" s="141"/>
      <c r="E912" s="15" t="s">
        <v>1773</v>
      </c>
      <c r="F912" s="141" t="str">
        <f>IF(wskakunin_BOUKA_BOUKA=1,"■","□")</f>
        <v>□</v>
      </c>
      <c r="H912" s="18"/>
    </row>
    <row r="913" spans="1:8" ht="15" customHeight="1">
      <c r="A913" s="7"/>
      <c r="B913" s="71" t="s">
        <v>1774</v>
      </c>
      <c r="C913" s="15" t="s">
        <v>1775</v>
      </c>
      <c r="D913" s="141"/>
      <c r="E913" s="15" t="s">
        <v>1776</v>
      </c>
      <c r="F913" s="141" t="str">
        <f>IF(wskakunin_BOUKA_JYUN_BOUKA=1,"■","□")</f>
        <v>□</v>
      </c>
      <c r="H913" s="18"/>
    </row>
    <row r="914" spans="1:8" ht="15" customHeight="1">
      <c r="A914" s="7"/>
      <c r="B914" s="71" t="s">
        <v>1777</v>
      </c>
      <c r="C914" s="15" t="s">
        <v>1778</v>
      </c>
      <c r="D914" s="141"/>
      <c r="E914" s="15" t="s">
        <v>1779</v>
      </c>
      <c r="F914" s="141" t="str">
        <f>IF(wskakunin_BOUKA_NASI=1,"■","□")</f>
        <v>□</v>
      </c>
      <c r="H914" s="18"/>
    </row>
    <row r="915" spans="1:8" ht="15" customHeight="1">
      <c r="A915" s="7"/>
      <c r="B915" s="71" t="s">
        <v>1780</v>
      </c>
      <c r="C915" s="15" t="s">
        <v>1781</v>
      </c>
      <c r="D915" s="141"/>
      <c r="E915" s="15" t="s">
        <v>1782</v>
      </c>
      <c r="F915" s="141" t="str">
        <f>IF(wskakunin_BOUKA_22JYO=1,"■","□")</f>
        <v>□</v>
      </c>
      <c r="H915" s="18"/>
    </row>
    <row r="916" spans="1:8" ht="15" customHeight="1">
      <c r="A916" s="8"/>
      <c r="B916" s="72"/>
      <c r="D916" s="18"/>
      <c r="F916" s="18"/>
      <c r="H916" s="18"/>
    </row>
    <row r="917" spans="1:8" ht="15" customHeight="1">
      <c r="A917" s="1" t="s">
        <v>1783</v>
      </c>
      <c r="B917" s="722"/>
      <c r="C917" s="15" t="s">
        <v>1784</v>
      </c>
      <c r="D917" s="141"/>
      <c r="E917" s="15" t="s">
        <v>1785</v>
      </c>
      <c r="F917" s="141" t="str">
        <f>IF(wskakunin_SONOTA_KUIKI="","",wskakunin_SONOTA_KUIKI)</f>
        <v/>
      </c>
      <c r="H917" s="18"/>
    </row>
    <row r="918" spans="1:8" ht="15" customHeight="1">
      <c r="A918" s="8"/>
      <c r="B918" s="63"/>
      <c r="H918" s="18"/>
    </row>
    <row r="919" spans="1:8" ht="15" customHeight="1">
      <c r="A919" s="28" t="s">
        <v>1786</v>
      </c>
      <c r="B919" s="28"/>
      <c r="D919" s="18"/>
      <c r="F919" s="18"/>
      <c r="H919" s="18"/>
    </row>
    <row r="920" spans="1:8" ht="15" customHeight="1">
      <c r="A920" s="28"/>
      <c r="B920" s="71" t="s">
        <v>1787</v>
      </c>
      <c r="C920" s="15" t="s">
        <v>1788</v>
      </c>
      <c r="D920" s="237"/>
      <c r="E920" s="15" t="s">
        <v>1789</v>
      </c>
      <c r="F920" s="237" t="str">
        <f>IF(wskakunin_DOURO_FUKUIN="","",wskakunin_DOURO_FUKUIN)</f>
        <v/>
      </c>
      <c r="H920" s="18"/>
    </row>
    <row r="921" spans="1:8" ht="15" customHeight="1">
      <c r="A921" s="28"/>
      <c r="B921" s="71" t="s">
        <v>1790</v>
      </c>
      <c r="C921" s="15" t="s">
        <v>1791</v>
      </c>
      <c r="D921" s="237"/>
      <c r="E921" s="15" t="s">
        <v>1792</v>
      </c>
      <c r="F921" s="237" t="str">
        <f>IF(wskakunin_DOURO_NAGASA="","",wskakunin_DOURO_NAGASA)</f>
        <v/>
      </c>
      <c r="H921" s="18"/>
    </row>
    <row r="922" spans="1:8" ht="15" customHeight="1">
      <c r="A922" s="28"/>
      <c r="B922" s="72"/>
      <c r="D922" s="18"/>
      <c r="F922" s="18"/>
      <c r="H922" s="18"/>
    </row>
    <row r="923" spans="1:8" ht="15" customHeight="1">
      <c r="A923" s="67" t="s">
        <v>1793</v>
      </c>
      <c r="B923" s="68"/>
      <c r="D923" s="18"/>
      <c r="F923" s="18"/>
      <c r="H923" s="18"/>
    </row>
    <row r="924" spans="1:8" ht="15" customHeight="1">
      <c r="A924" s="48" t="s">
        <v>1794</v>
      </c>
      <c r="B924" s="69"/>
      <c r="D924" s="18"/>
      <c r="F924" s="18"/>
      <c r="H924" s="18"/>
    </row>
    <row r="925" spans="1:8" ht="15" customHeight="1">
      <c r="A925" s="7"/>
      <c r="B925" s="71" t="s">
        <v>1795</v>
      </c>
      <c r="C925" s="15" t="s">
        <v>1796</v>
      </c>
      <c r="D925" s="238"/>
      <c r="E925" s="15" t="s">
        <v>1797</v>
      </c>
      <c r="F925" s="238" t="str">
        <f>IF(wskakunin_SHIKITI_MENSEKI_1A="","",wskakunin_SHIKITI_MENSEKI_1A)</f>
        <v/>
      </c>
      <c r="H925" s="18"/>
    </row>
    <row r="926" spans="1:8" ht="15" customHeight="1">
      <c r="A926" s="7"/>
      <c r="B926" s="71" t="s">
        <v>1798</v>
      </c>
      <c r="C926" s="15" t="s">
        <v>1799</v>
      </c>
      <c r="D926" s="238"/>
      <c r="E926" s="15" t="s">
        <v>1800</v>
      </c>
      <c r="F926" s="238" t="str">
        <f>IF(wskakunin_SHIKITI_MENSEKI_1B="","",wskakunin_SHIKITI_MENSEKI_1B)</f>
        <v/>
      </c>
      <c r="H926" s="18"/>
    </row>
    <row r="927" spans="1:8" ht="15" customHeight="1">
      <c r="A927" s="7"/>
      <c r="B927" s="71" t="s">
        <v>1801</v>
      </c>
      <c r="C927" s="15" t="s">
        <v>1802</v>
      </c>
      <c r="D927" s="238"/>
      <c r="E927" s="15" t="s">
        <v>1803</v>
      </c>
      <c r="F927" s="238" t="str">
        <f>IF(wskakunin_SHIKITI_MENSEKI_1C="","",wskakunin_SHIKITI_MENSEKI_1C)</f>
        <v/>
      </c>
      <c r="H927" s="18"/>
    </row>
    <row r="928" spans="1:8" ht="15" customHeight="1">
      <c r="A928" s="7"/>
      <c r="B928" s="71" t="s">
        <v>1804</v>
      </c>
      <c r="C928" s="15" t="s">
        <v>1805</v>
      </c>
      <c r="D928" s="238"/>
      <c r="E928" s="15" t="s">
        <v>1806</v>
      </c>
      <c r="F928" s="238" t="str">
        <f>IF(wskakunin_SHIKITI_MENSEKI_1D="","",wskakunin_SHIKITI_MENSEKI_1D)</f>
        <v/>
      </c>
      <c r="H928" s="18"/>
    </row>
    <row r="929" spans="1:8" ht="15" customHeight="1">
      <c r="A929" s="7"/>
      <c r="B929" s="71" t="s">
        <v>1807</v>
      </c>
      <c r="C929" s="15" t="s">
        <v>1808</v>
      </c>
      <c r="D929" s="238"/>
      <c r="E929" s="15" t="s">
        <v>1809</v>
      </c>
      <c r="F929" s="238" t="str">
        <f>IF(wskakunin_SHIKITI_MENSEKI_2A="","",wskakunin_SHIKITI_MENSEKI_2A)</f>
        <v/>
      </c>
      <c r="H929" s="18"/>
    </row>
    <row r="930" spans="1:8" ht="15" customHeight="1">
      <c r="A930" s="7"/>
      <c r="B930" s="71" t="s">
        <v>1810</v>
      </c>
      <c r="C930" s="15" t="s">
        <v>1811</v>
      </c>
      <c r="D930" s="238"/>
      <c r="E930" s="15" t="s">
        <v>1812</v>
      </c>
      <c r="F930" s="238" t="str">
        <f>IF(wskakunin_SHIKITI_MENSEKI_2B="","",wskakunin_SHIKITI_MENSEKI_2B)</f>
        <v/>
      </c>
      <c r="H930" s="18"/>
    </row>
    <row r="931" spans="1:8" ht="15" customHeight="1">
      <c r="A931" s="7"/>
      <c r="B931" s="71" t="s">
        <v>1813</v>
      </c>
      <c r="C931" s="15" t="s">
        <v>1814</v>
      </c>
      <c r="D931" s="238"/>
      <c r="E931" s="15" t="s">
        <v>1815</v>
      </c>
      <c r="F931" s="238" t="str">
        <f>IF(wskakunin_SHIKITI_MENSEKI_2C="","",wskakunin_SHIKITI_MENSEKI_2C)</f>
        <v/>
      </c>
      <c r="H931" s="18"/>
    </row>
    <row r="932" spans="1:8" ht="15" customHeight="1">
      <c r="A932" s="7"/>
      <c r="B932" s="46" t="s">
        <v>1816</v>
      </c>
      <c r="C932" s="15" t="s">
        <v>1817</v>
      </c>
      <c r="D932" s="238"/>
      <c r="E932" s="15" t="s">
        <v>1818</v>
      </c>
      <c r="F932" s="238" t="str">
        <f>IF(wskakunin_SHIKITI_MENSEKI_2D="","",wskakunin_SHIKITI_MENSEKI_2D)</f>
        <v/>
      </c>
      <c r="H932" s="18"/>
    </row>
    <row r="933" spans="1:8" ht="15" customHeight="1">
      <c r="A933" s="48" t="s">
        <v>1819</v>
      </c>
      <c r="B933" s="69"/>
      <c r="D933" s="18"/>
      <c r="F933" s="18"/>
      <c r="H933" s="18"/>
    </row>
    <row r="934" spans="1:8" ht="15" customHeight="1">
      <c r="A934" s="7"/>
      <c r="B934" s="71" t="s">
        <v>1820</v>
      </c>
      <c r="C934" s="15" t="s">
        <v>1821</v>
      </c>
      <c r="D934" s="141"/>
      <c r="E934" s="15" t="s">
        <v>1822</v>
      </c>
      <c r="F934" s="141" t="str">
        <f>IF(wskakunin_YOUTO_TIIKI_A="", "", wskakunin_YOUTO_TIIKI_A)</f>
        <v/>
      </c>
      <c r="H934" s="18"/>
    </row>
    <row r="935" spans="1:8" ht="15" customHeight="1">
      <c r="A935" s="7"/>
      <c r="B935" s="71" t="s">
        <v>1823</v>
      </c>
      <c r="C935" s="15" t="s">
        <v>1824</v>
      </c>
      <c r="D935" s="141"/>
      <c r="E935" s="15" t="s">
        <v>1825</v>
      </c>
      <c r="F935" s="141" t="str">
        <f>IF(wskakunin_YOUTO_TIIKI_B="","",wskakunin_YOUTO_TIIKI_B)</f>
        <v/>
      </c>
      <c r="H935" s="18"/>
    </row>
    <row r="936" spans="1:8" ht="15" customHeight="1">
      <c r="A936" s="7"/>
      <c r="B936" s="71" t="s">
        <v>1826</v>
      </c>
      <c r="C936" s="15" t="s">
        <v>1827</v>
      </c>
      <c r="D936" s="141"/>
      <c r="E936" s="15" t="s">
        <v>1828</v>
      </c>
      <c r="F936" s="141" t="str">
        <f>IF(wskakunin_YOUTO_TIIKI_C="","",wskakunin_YOUTO_TIIKI_C)</f>
        <v/>
      </c>
      <c r="H936" s="18"/>
    </row>
    <row r="937" spans="1:8" ht="15" customHeight="1">
      <c r="A937" s="70"/>
      <c r="B937" s="71" t="s">
        <v>1829</v>
      </c>
      <c r="C937" s="15" t="s">
        <v>1830</v>
      </c>
      <c r="D937" s="141"/>
      <c r="E937" s="15" t="s">
        <v>1831</v>
      </c>
      <c r="F937" s="141" t="str">
        <f>IF(wskakunin_YOUTO_TIIKI_D="","",wskakunin_YOUTO_TIIKI_D)</f>
        <v/>
      </c>
      <c r="G937" s="15" t="s">
        <v>1832</v>
      </c>
      <c r="H937" s="18"/>
    </row>
    <row r="938" spans="1:8" ht="15" customHeight="1">
      <c r="A938" s="48" t="s">
        <v>1833</v>
      </c>
      <c r="B938" s="69"/>
      <c r="D938" s="18"/>
      <c r="F938" s="18"/>
      <c r="H938" s="18"/>
    </row>
    <row r="939" spans="1:8" ht="15" customHeight="1">
      <c r="A939" s="7"/>
      <c r="B939" s="71" t="s">
        <v>1820</v>
      </c>
      <c r="C939" s="15" t="s">
        <v>1834</v>
      </c>
      <c r="D939" s="238"/>
      <c r="E939" s="105" t="s">
        <v>1835</v>
      </c>
      <c r="F939" s="238" t="str">
        <f>IF(wskakunin_YOUSEKI_RITU_A="","",wskakunin_YOUSEKI_RITU_A)</f>
        <v/>
      </c>
      <c r="H939" s="18"/>
    </row>
    <row r="940" spans="1:8" ht="15" customHeight="1">
      <c r="A940" s="7"/>
      <c r="B940" s="71" t="s">
        <v>1823</v>
      </c>
      <c r="C940" s="15" t="s">
        <v>1836</v>
      </c>
      <c r="D940" s="238"/>
      <c r="E940" s="105" t="s">
        <v>1837</v>
      </c>
      <c r="F940" s="238" t="str">
        <f>IF(wskakunin_YOUSEKI_RITU_B="","",wskakunin_YOUSEKI_RITU_B)</f>
        <v/>
      </c>
      <c r="H940" s="18"/>
    </row>
    <row r="941" spans="1:8" ht="15" customHeight="1">
      <c r="A941" s="7"/>
      <c r="B941" s="71" t="s">
        <v>1826</v>
      </c>
      <c r="C941" s="15" t="s">
        <v>1838</v>
      </c>
      <c r="D941" s="238"/>
      <c r="E941" s="105" t="s">
        <v>1839</v>
      </c>
      <c r="F941" s="238" t="str">
        <f>IF(wskakunin_YOUSEKI_RITU_C="","",wskakunin_YOUSEKI_RITU_C)</f>
        <v/>
      </c>
      <c r="H941" s="18"/>
    </row>
    <row r="942" spans="1:8" ht="15" customHeight="1">
      <c r="A942" s="70"/>
      <c r="B942" s="71" t="s">
        <v>1829</v>
      </c>
      <c r="C942" s="15" t="s">
        <v>1840</v>
      </c>
      <c r="D942" s="238"/>
      <c r="E942" s="105" t="s">
        <v>1841</v>
      </c>
      <c r="F942" s="238" t="str">
        <f>IF(wskakunin_YOUSEKI_RITU_D="","",wskakunin_YOUSEKI_RITU_D)</f>
        <v/>
      </c>
      <c r="H942" s="18"/>
    </row>
    <row r="943" spans="1:8" ht="15" customHeight="1">
      <c r="A943" s="48" t="s">
        <v>1842</v>
      </c>
      <c r="B943" s="69"/>
      <c r="D943" s="106"/>
      <c r="E943" s="105"/>
      <c r="F943" s="106"/>
      <c r="H943" s="18"/>
    </row>
    <row r="944" spans="1:8" ht="15" customHeight="1">
      <c r="A944" s="7"/>
      <c r="B944" s="71" t="s">
        <v>1820</v>
      </c>
      <c r="C944" s="15" t="s">
        <v>1843</v>
      </c>
      <c r="D944" s="238"/>
      <c r="E944" s="105" t="s">
        <v>1844</v>
      </c>
      <c r="F944" s="238" t="str">
        <f>IF(wskakunin_KENPEI_RITU_A="","",wskakunin_KENPEI_RITU_A)</f>
        <v/>
      </c>
      <c r="H944" s="18"/>
    </row>
    <row r="945" spans="1:6" ht="15" customHeight="1">
      <c r="A945" s="7"/>
      <c r="B945" s="71" t="s">
        <v>1823</v>
      </c>
      <c r="C945" s="15" t="s">
        <v>1845</v>
      </c>
      <c r="D945" s="238"/>
      <c r="E945" s="105" t="s">
        <v>1846</v>
      </c>
      <c r="F945" s="238" t="str">
        <f>IF(wskakunin_KENPEI_RITU_B="","",wskakunin_KENPEI_RITU_B)</f>
        <v/>
      </c>
    </row>
    <row r="946" spans="1:6" ht="15" customHeight="1">
      <c r="A946" s="7"/>
      <c r="B946" s="71" t="s">
        <v>1826</v>
      </c>
      <c r="C946" s="15" t="s">
        <v>1847</v>
      </c>
      <c r="D946" s="238"/>
      <c r="E946" s="105" t="s">
        <v>1848</v>
      </c>
      <c r="F946" s="238" t="str">
        <f>IF(wskakunin_KENPEI_RITU_C="","",wskakunin_KENPEI_RITU_C)</f>
        <v/>
      </c>
    </row>
    <row r="947" spans="1:6" ht="15" customHeight="1">
      <c r="A947" s="70"/>
      <c r="B947" s="71" t="s">
        <v>1829</v>
      </c>
      <c r="C947" s="15" t="s">
        <v>1849</v>
      </c>
      <c r="D947" s="238"/>
      <c r="E947" s="105" t="s">
        <v>1850</v>
      </c>
      <c r="F947" s="238" t="str">
        <f>IF(wskakunin_KENPEI_RITU_D="","",wskakunin_KENPEI_RITU_D)</f>
        <v/>
      </c>
    </row>
    <row r="948" spans="1:6" ht="15" customHeight="1">
      <c r="A948" s="7" t="s">
        <v>1851</v>
      </c>
      <c r="B948" s="29"/>
      <c r="D948" s="106"/>
      <c r="E948" s="105"/>
      <c r="F948" s="106"/>
    </row>
    <row r="949" spans="1:6" ht="15" customHeight="1">
      <c r="A949" s="7"/>
      <c r="B949" s="71" t="s">
        <v>1852</v>
      </c>
      <c r="C949" s="15" t="s">
        <v>1853</v>
      </c>
      <c r="D949" s="238"/>
      <c r="E949" s="15" t="s">
        <v>1854</v>
      </c>
      <c r="F949" s="141" t="str">
        <f>IF(wskakunin_SHIKITI_MENSEKI_1_TOTAL="", "", wskakunin_SHIKITI_MENSEKI_1_TOTAL)</f>
        <v/>
      </c>
    </row>
    <row r="950" spans="1:6" ht="15" customHeight="1">
      <c r="A950" s="7"/>
      <c r="B950" s="71" t="s">
        <v>1855</v>
      </c>
      <c r="C950" s="15" t="s">
        <v>1856</v>
      </c>
      <c r="D950" s="238"/>
      <c r="E950" s="105" t="s">
        <v>1857</v>
      </c>
      <c r="F950" s="238" t="str">
        <f>IF(wskakunin_SHIKITI_MENSEKI_2_TOTAL="","",wskakunin_SHIKITI_MENSEKI_2_TOTAL)</f>
        <v/>
      </c>
    </row>
    <row r="951" spans="1:6" ht="15" customHeight="1">
      <c r="A951" s="7"/>
      <c r="B951" s="82" t="s">
        <v>1858</v>
      </c>
      <c r="C951" s="15" t="s">
        <v>1859</v>
      </c>
      <c r="D951" s="238"/>
      <c r="E951" s="105" t="s">
        <v>1860</v>
      </c>
      <c r="F951" s="238" t="str">
        <f>IF(wskakunin_LIMIT_YOUSEKI_RITU="","",wskakunin_LIMIT_YOUSEKI_RITU)</f>
        <v/>
      </c>
    </row>
    <row r="952" spans="1:6" ht="15" customHeight="1">
      <c r="A952" s="7"/>
      <c r="B952" s="82" t="s">
        <v>1861</v>
      </c>
      <c r="C952" s="15" t="s">
        <v>1862</v>
      </c>
      <c r="D952" s="238"/>
      <c r="E952" s="105" t="s">
        <v>1863</v>
      </c>
      <c r="F952" s="238" t="str">
        <f>IF(wskakunin_LIMIT_KENPEI_RITU="","",wskakunin_LIMIT_KENPEI_RITU)</f>
        <v/>
      </c>
    </row>
    <row r="953" spans="1:6" ht="15" customHeight="1">
      <c r="A953" s="8"/>
      <c r="B953" s="72" t="s">
        <v>2</v>
      </c>
      <c r="C953" s="15" t="s">
        <v>1864</v>
      </c>
      <c r="D953" s="141"/>
      <c r="E953" s="15" t="s">
        <v>1865</v>
      </c>
      <c r="F953" s="141" t="str">
        <f>IF(wskakunin_SHIKITI_MENSEKI_BIKOU="","",wskakunin_SHIKITI_MENSEKI_BIKOU)</f>
        <v/>
      </c>
    </row>
    <row r="954" spans="1:6" ht="15" customHeight="1">
      <c r="A954" s="49" t="s">
        <v>1866</v>
      </c>
      <c r="B954" s="723"/>
      <c r="D954" s="18"/>
      <c r="F954" s="18"/>
    </row>
    <row r="955" spans="1:6" ht="15" customHeight="1">
      <c r="A955" s="83"/>
      <c r="B955" s="77" t="s">
        <v>1867</v>
      </c>
      <c r="C955" s="15" t="s">
        <v>1868</v>
      </c>
      <c r="D955" s="220"/>
      <c r="E955" s="15" t="s">
        <v>1869</v>
      </c>
      <c r="F955" s="220" t="str">
        <f>IF(wskakunin_YOUTO_CODE="","",wskakunin_YOUTO_CODE)</f>
        <v/>
      </c>
    </row>
    <row r="956" spans="1:6" ht="15" customHeight="1">
      <c r="A956" s="83"/>
      <c r="B956" s="77" t="s">
        <v>1666</v>
      </c>
      <c r="C956" s="15" t="s">
        <v>1870</v>
      </c>
      <c r="D956" s="141"/>
      <c r="E956" s="15" t="s">
        <v>1871</v>
      </c>
      <c r="F956" s="141" t="str">
        <f>IF(wskakunin_YOUTO="", "", wskakunin_YOUTO)</f>
        <v/>
      </c>
    </row>
    <row r="957" spans="1:6" ht="15" customHeight="1">
      <c r="A957" s="84"/>
      <c r="B957" s="85" t="s">
        <v>1872</v>
      </c>
      <c r="C957" s="15" t="s">
        <v>1873</v>
      </c>
      <c r="D957" s="141"/>
      <c r="E957" s="15" t="s">
        <v>1874</v>
      </c>
      <c r="F957" s="141" t="str">
        <f>IF(shinsei_UNIT_COUNT="","",shinsei_UNIT_COUNT)</f>
        <v/>
      </c>
    </row>
    <row r="958" spans="1:6" ht="15" customHeight="1">
      <c r="A958" s="1" t="s">
        <v>1875</v>
      </c>
      <c r="B958" s="68"/>
      <c r="D958" s="18"/>
      <c r="F958" s="18"/>
    </row>
    <row r="959" spans="1:6" ht="15" customHeight="1">
      <c r="A959" s="70"/>
      <c r="B959" s="71" t="s">
        <v>1876</v>
      </c>
      <c r="C959" s="15" t="s">
        <v>1877</v>
      </c>
      <c r="D959" s="141"/>
      <c r="E959" s="15" t="s">
        <v>1878</v>
      </c>
      <c r="F959" s="141" t="str">
        <f>IF(wskakunin__kouji="", "", wskakunin__kouji)</f>
        <v/>
      </c>
    </row>
    <row r="960" spans="1:6" ht="15" customHeight="1">
      <c r="A960" s="7"/>
      <c r="B960" s="71" t="s">
        <v>1879</v>
      </c>
      <c r="C960" s="15" t="s">
        <v>1880</v>
      </c>
      <c r="D960" s="141"/>
      <c r="E960" s="15" t="s">
        <v>1881</v>
      </c>
      <c r="F960" s="141" t="str">
        <f>IF(wskakunin_KOUJI_SINTIKU=1,"■","□")</f>
        <v>□</v>
      </c>
    </row>
    <row r="961" spans="1:7" ht="15" customHeight="1">
      <c r="A961" s="7"/>
      <c r="B961" s="71" t="s">
        <v>1882</v>
      </c>
      <c r="C961" s="15" t="s">
        <v>1883</v>
      </c>
      <c r="D961" s="141"/>
      <c r="E961" s="15" t="s">
        <v>1884</v>
      </c>
      <c r="F961" s="141" t="str">
        <f>IF(wskakunin_KOUJI_ZOUTIKU=1,"■","□")</f>
        <v>□</v>
      </c>
    </row>
    <row r="962" spans="1:7" ht="15" customHeight="1">
      <c r="A962" s="7"/>
      <c r="B962" s="71" t="s">
        <v>1885</v>
      </c>
      <c r="C962" s="15" t="s">
        <v>1886</v>
      </c>
      <c r="D962" s="141"/>
      <c r="E962" s="15" t="s">
        <v>1887</v>
      </c>
      <c r="F962" s="141" t="str">
        <f>IF(wskakunin_KOUJI_KAITIKU=1,"■","□")</f>
        <v>□</v>
      </c>
    </row>
    <row r="963" spans="1:7" ht="15" customHeight="1">
      <c r="A963" s="7"/>
      <c r="B963" s="71" t="s">
        <v>1888</v>
      </c>
      <c r="C963" s="15" t="s">
        <v>1889</v>
      </c>
      <c r="D963" s="141"/>
      <c r="E963" s="15" t="s">
        <v>1890</v>
      </c>
      <c r="F963" s="141" t="str">
        <f>IF(wskakunin_KOUJI_ITEN=1,"■","□")</f>
        <v>□</v>
      </c>
    </row>
    <row r="964" spans="1:7" ht="15" customHeight="1">
      <c r="A964" s="7"/>
      <c r="B964" s="71" t="s">
        <v>1891</v>
      </c>
      <c r="C964" s="15" t="s">
        <v>1892</v>
      </c>
      <c r="D964" s="141"/>
      <c r="E964" s="15" t="s">
        <v>1893</v>
      </c>
      <c r="F964" s="141" t="str">
        <f>IF(wskakunin_KOUJI_YOUTOHENKOU=1,"■","□")</f>
        <v>□</v>
      </c>
      <c r="G964" s="15" t="s">
        <v>1894</v>
      </c>
    </row>
    <row r="965" spans="1:7" ht="15" customHeight="1">
      <c r="A965" s="7"/>
      <c r="B965" s="71" t="s">
        <v>1895</v>
      </c>
      <c r="C965" s="15" t="s">
        <v>1896</v>
      </c>
      <c r="D965" s="141"/>
      <c r="E965" s="15" t="s">
        <v>1897</v>
      </c>
      <c r="F965" s="141" t="str">
        <f>IF(wskakunin_KOUJI_DAI_SYUUZEN=1,"■","□")</f>
        <v>□</v>
      </c>
    </row>
    <row r="966" spans="1:7" ht="15" customHeight="1">
      <c r="A966" s="7"/>
      <c r="B966" s="71" t="s">
        <v>1898</v>
      </c>
      <c r="C966" s="15" t="s">
        <v>1899</v>
      </c>
      <c r="D966" s="141"/>
      <c r="E966" s="15" t="s">
        <v>1900</v>
      </c>
      <c r="F966" s="141" t="str">
        <f>IF(wskakunin_KOUJI_DAI_MOYOUGAE=1,"■","□")</f>
        <v>□</v>
      </c>
    </row>
    <row r="967" spans="1:7" ht="15" customHeight="1">
      <c r="A967" s="7"/>
      <c r="B967" s="71" t="s">
        <v>1901</v>
      </c>
      <c r="C967" s="15" t="s">
        <v>1902</v>
      </c>
      <c r="D967" s="141"/>
      <c r="E967" s="15" t="s">
        <v>1903</v>
      </c>
      <c r="F967" s="141" t="str">
        <f>IF(wskakuninKOUJI_SETUBI=1,"■","□")</f>
        <v>□</v>
      </c>
      <c r="G967" s="15" t="s">
        <v>1904</v>
      </c>
    </row>
    <row r="968" spans="1:7" ht="15" customHeight="1">
      <c r="A968" s="70"/>
      <c r="B968" s="71"/>
    </row>
    <row r="969" spans="1:7" ht="15" customHeight="1">
      <c r="A969" s="7" t="s">
        <v>1905</v>
      </c>
      <c r="B969" s="29"/>
      <c r="E969" s="142"/>
      <c r="F969" s="142"/>
    </row>
    <row r="970" spans="1:7" ht="15" customHeight="1">
      <c r="A970" s="7"/>
      <c r="B970" s="46" t="s">
        <v>1906</v>
      </c>
      <c r="C970" s="15" t="s">
        <v>1907</v>
      </c>
      <c r="D970" s="141"/>
      <c r="E970" s="15" t="s">
        <v>1908</v>
      </c>
      <c r="F970" s="141" t="str">
        <f>IF(wskakunin_gaiyou1_WORK_SYURUI_CODE="","",wskakunin_gaiyou1_WORK_SYURUI_CODE)</f>
        <v/>
      </c>
    </row>
    <row r="971" spans="1:7" ht="15" customHeight="1">
      <c r="A971" s="7"/>
      <c r="B971" s="46" t="s">
        <v>1909</v>
      </c>
      <c r="C971" s="15" t="s">
        <v>1910</v>
      </c>
      <c r="D971" s="141"/>
      <c r="E971" s="15" t="s">
        <v>1911</v>
      </c>
      <c r="F971" s="141" t="str">
        <f>IF(wskakunin_gaiyou1_WORK_SYURUI="","",wskakunin_gaiyou1_WORK_SYURUI)</f>
        <v/>
      </c>
    </row>
    <row r="972" spans="1:7" ht="15" customHeight="1">
      <c r="A972" s="7"/>
      <c r="B972" s="46" t="s">
        <v>1912</v>
      </c>
      <c r="C972" s="15" t="s">
        <v>1913</v>
      </c>
      <c r="D972" s="141"/>
      <c r="E972" s="15" t="s">
        <v>1914</v>
      </c>
      <c r="F972" s="141" t="str">
        <f>IF(wskakunin_gaiyou1_TAKASA="","",wskakunin_gaiyou1_TAKASA)</f>
        <v/>
      </c>
    </row>
    <row r="973" spans="1:7" ht="15" customHeight="1">
      <c r="A973" s="7"/>
      <c r="B973" s="46" t="s">
        <v>1695</v>
      </c>
      <c r="C973" s="15" t="s">
        <v>1915</v>
      </c>
      <c r="D973" s="141"/>
      <c r="E973" s="15" t="s">
        <v>1916</v>
      </c>
      <c r="F973" s="141" t="str">
        <f>IF(wskakunin_gaiyou1_KOUZOU="","",wskakunin_gaiyou1_KOUZOU)</f>
        <v/>
      </c>
    </row>
    <row r="974" spans="1:7" ht="15" customHeight="1">
      <c r="A974" s="7"/>
      <c r="B974" s="74" t="s">
        <v>1917</v>
      </c>
      <c r="C974" s="15" t="s">
        <v>1918</v>
      </c>
      <c r="D974" s="47"/>
      <c r="E974" s="15" t="s">
        <v>1919</v>
      </c>
      <c r="F974" s="47" t="str">
        <f>IF(wskakunin_gaiyou1_KOUJI_SINTIKU=1,"■","□")</f>
        <v>□</v>
      </c>
    </row>
    <row r="975" spans="1:7" ht="15" customHeight="1">
      <c r="A975" s="7"/>
      <c r="B975" s="74" t="s">
        <v>1920</v>
      </c>
      <c r="C975" s="15" t="s">
        <v>1921</v>
      </c>
      <c r="D975" s="47"/>
      <c r="E975" s="15" t="s">
        <v>1922</v>
      </c>
      <c r="F975" s="47" t="str">
        <f>IF(wskakunin_gaiyou1_KOUJI_ZOUTIKU=1,"■","□")</f>
        <v>□</v>
      </c>
    </row>
    <row r="976" spans="1:7" ht="15" customHeight="1">
      <c r="A976" s="7"/>
      <c r="B976" s="74" t="s">
        <v>1923</v>
      </c>
      <c r="C976" s="15" t="s">
        <v>1924</v>
      </c>
      <c r="D976" s="47"/>
      <c r="E976" s="15" t="s">
        <v>1925</v>
      </c>
      <c r="F976" s="47" t="str">
        <f>IF(wskakunin_gaiyou1_KOUJI_KAITIKU=1,"■","□")</f>
        <v>□</v>
      </c>
    </row>
    <row r="977" spans="1:6" ht="15" customHeight="1">
      <c r="A977" s="7"/>
      <c r="B977" s="74" t="s">
        <v>1926</v>
      </c>
      <c r="C977" s="15" t="s">
        <v>1927</v>
      </c>
      <c r="D977" s="47"/>
      <c r="E977" s="15" t="s">
        <v>1928</v>
      </c>
      <c r="F977" s="47" t="str">
        <f>IF(wskakunin_gaiyou1_KOUJI_SONOTA=1,"■","□")</f>
        <v>□</v>
      </c>
    </row>
    <row r="978" spans="1:6" ht="15" customHeight="1">
      <c r="A978" s="7"/>
      <c r="B978" s="74" t="s">
        <v>1929</v>
      </c>
      <c r="C978" s="15" t="s">
        <v>1930</v>
      </c>
      <c r="D978" s="47"/>
      <c r="E978" s="15" t="s">
        <v>1931</v>
      </c>
      <c r="F978" s="47" t="str">
        <f>IF(wskakunin_gaiyou1_KOUJI_SONOTA_TEXT="","",wskakunin_gaiyou1_KOUJI_SONOTA_TEXT)</f>
        <v/>
      </c>
    </row>
    <row r="979" spans="1:6" ht="15" customHeight="1">
      <c r="A979" s="7"/>
      <c r="B979" s="46"/>
      <c r="D979" s="18"/>
      <c r="F979" s="18"/>
    </row>
    <row r="980" spans="1:6" ht="15" customHeight="1">
      <c r="A980" s="7"/>
      <c r="B980" s="46" t="s">
        <v>1932</v>
      </c>
      <c r="C980" s="15" t="s">
        <v>1933</v>
      </c>
      <c r="D980" s="141"/>
      <c r="E980" s="15" t="s">
        <v>1934</v>
      </c>
      <c r="F980" s="141" t="str">
        <f>IF(wskakunin_gaiyou1_TIKUZOU_MENSEKI_SHINSEI="","",wskakunin_gaiyou1_TIKUZOU_MENSEKI_SHINSEI)</f>
        <v/>
      </c>
    </row>
    <row r="981" spans="1:6" ht="15" customHeight="1">
      <c r="A981" s="7"/>
      <c r="B981" s="46" t="s">
        <v>1935</v>
      </c>
      <c r="C981" s="15" t="s">
        <v>1936</v>
      </c>
      <c r="D981" s="141"/>
      <c r="E981" s="15" t="s">
        <v>1937</v>
      </c>
      <c r="F981" s="141" t="str">
        <f>IF(wskakunin_gaiyou1_TIKUZOU_MENSEKI_IGAI="","",wskakunin_gaiyou1_TIKUZOU_MENSEKI_IGAI)</f>
        <v/>
      </c>
    </row>
    <row r="982" spans="1:6" ht="15" customHeight="1">
      <c r="A982" s="7"/>
      <c r="B982" s="46" t="s">
        <v>1938</v>
      </c>
      <c r="C982" s="15" t="s">
        <v>1939</v>
      </c>
      <c r="D982" s="141"/>
      <c r="E982" s="15" t="s">
        <v>1940</v>
      </c>
      <c r="F982" s="141" t="str">
        <f>IF(wskakunin_gaiyou1_TIKUZOU_MENSEKI_TOTAL="","",wskakunin_gaiyou1_TIKUZOU_MENSEKI_TOTAL)</f>
        <v/>
      </c>
    </row>
    <row r="983" spans="1:6" ht="15" customHeight="1">
      <c r="A983" s="7"/>
      <c r="B983" s="46" t="s">
        <v>1941</v>
      </c>
      <c r="C983" s="15" t="s">
        <v>1942</v>
      </c>
      <c r="D983" s="141"/>
      <c r="E983" s="15" t="s">
        <v>1943</v>
      </c>
      <c r="F983" s="141" t="str">
        <f>IF(wskakunin_gaiyou1_WORK_COUNT_SHINSEI="","",wskakunin_gaiyou1_WORK_COUNT_SHINSEI)</f>
        <v/>
      </c>
    </row>
    <row r="984" spans="1:6" ht="15" customHeight="1">
      <c r="A984" s="7"/>
      <c r="B984" s="46" t="s">
        <v>1944</v>
      </c>
      <c r="C984" s="15" t="s">
        <v>1945</v>
      </c>
      <c r="D984" s="141"/>
      <c r="E984" s="15" t="s">
        <v>1946</v>
      </c>
      <c r="F984" s="141" t="str">
        <f>IF(wskakunin_gaiyou1_WORK_COUNT_IGAI="","",wskakunin_gaiyou1_WORK_COUNT_IGAI)</f>
        <v/>
      </c>
    </row>
    <row r="985" spans="1:6" ht="15" customHeight="1">
      <c r="A985" s="7"/>
      <c r="B985" s="46" t="s">
        <v>1947</v>
      </c>
      <c r="C985" s="15" t="s">
        <v>1948</v>
      </c>
      <c r="D985" s="141"/>
      <c r="E985" s="15" t="s">
        <v>1949</v>
      </c>
      <c r="F985" s="141" t="str">
        <f>IF(wskakunin_gaiyou1_WORK_COUNT_TOTAL="","",wskakunin_gaiyou1_WORK_COUNT_TOTAL)</f>
        <v/>
      </c>
    </row>
    <row r="986" spans="1:6" ht="15" customHeight="1">
      <c r="A986" s="8"/>
      <c r="B986" s="72"/>
      <c r="D986" s="18"/>
    </row>
    <row r="987" spans="1:6" ht="15" customHeight="1">
      <c r="A987" s="7" t="s">
        <v>1950</v>
      </c>
      <c r="B987" s="29"/>
      <c r="D987" s="18"/>
    </row>
    <row r="988" spans="1:6" ht="15" customHeight="1">
      <c r="A988" s="7"/>
      <c r="B988" s="46" t="s">
        <v>1951</v>
      </c>
      <c r="C988" s="15" t="s">
        <v>1952</v>
      </c>
      <c r="D988" s="141"/>
      <c r="E988" s="15" t="s">
        <v>1953</v>
      </c>
      <c r="F988" s="141" t="str">
        <f>IF(wskakunin_gaiyou1_NO="","",wskakunin_gaiyou1_NO)</f>
        <v/>
      </c>
    </row>
    <row r="989" spans="1:6" ht="15" customHeight="1">
      <c r="A989" s="7"/>
      <c r="B989" s="46" t="s">
        <v>1954</v>
      </c>
      <c r="C989" s="15" t="s">
        <v>1955</v>
      </c>
      <c r="D989" s="141"/>
      <c r="E989" s="15" t="s">
        <v>1956</v>
      </c>
      <c r="F989" s="141" t="str">
        <f>IF(wskakunin_gaiyou1_EV_KIND="","",wskakunin_gaiyou1_EV_KIND)</f>
        <v/>
      </c>
    </row>
    <row r="990" spans="1:6" ht="15" customHeight="1">
      <c r="A990" s="7"/>
      <c r="B990" s="46" t="s">
        <v>1957</v>
      </c>
      <c r="C990" s="15" t="s">
        <v>1958</v>
      </c>
      <c r="D990" s="141"/>
      <c r="E990" s="15" t="s">
        <v>1959</v>
      </c>
      <c r="F990" s="141" t="str">
        <f>IF(wskakunin_gaiyou1_YOUTO="","",wskakunin_gaiyou1_YOUTO)</f>
        <v/>
      </c>
    </row>
    <row r="991" spans="1:6" ht="15" customHeight="1">
      <c r="A991" s="7"/>
      <c r="B991" s="46" t="s">
        <v>1960</v>
      </c>
      <c r="C991" s="15" t="s">
        <v>1961</v>
      </c>
      <c r="D991" s="141"/>
      <c r="E991" s="15" t="s">
        <v>1962</v>
      </c>
      <c r="F991" s="141" t="str">
        <f>IF(wskakunin_gaiyou1_SEKISAI="","",wskakunin_gaiyou1_SEKISAI)</f>
        <v/>
      </c>
    </row>
    <row r="992" spans="1:6" ht="15" customHeight="1">
      <c r="A992" s="7"/>
      <c r="B992" s="46" t="s">
        <v>1963</v>
      </c>
      <c r="C992" s="15" t="s">
        <v>1964</v>
      </c>
      <c r="D992" s="141"/>
      <c r="E992" s="15" t="s">
        <v>1965</v>
      </c>
      <c r="F992" s="141" t="str">
        <f>IF(wskakunin_gaiyou1_TEIIN="","",wskakunin_gaiyou1_TEIIN)</f>
        <v/>
      </c>
    </row>
    <row r="993" spans="1:6" ht="15" customHeight="1">
      <c r="A993" s="7"/>
      <c r="B993" s="46" t="s">
        <v>1966</v>
      </c>
      <c r="C993" s="15" t="s">
        <v>1967</v>
      </c>
      <c r="D993" s="141"/>
      <c r="E993" s="15" t="s">
        <v>1968</v>
      </c>
      <c r="F993" s="141" t="str">
        <f>IF(wskakunin_gaiyou1_SPEED="","",wskakunin_gaiyou1_SPEED)</f>
        <v/>
      </c>
    </row>
    <row r="994" spans="1:6" ht="15" customHeight="1">
      <c r="A994" s="7"/>
      <c r="B994" s="46" t="s">
        <v>1969</v>
      </c>
      <c r="C994" s="15" t="s">
        <v>1970</v>
      </c>
      <c r="D994" s="141"/>
      <c r="E994" s="15" t="s">
        <v>1971</v>
      </c>
      <c r="F994" s="141" t="str">
        <f>IF(wskakunin_gaiyou1_SONOTA="","",wskakunin_gaiyou1_SONOTA)</f>
        <v/>
      </c>
    </row>
    <row r="995" spans="1:6" ht="15" customHeight="1">
      <c r="A995" s="7"/>
      <c r="B995" s="46" t="s">
        <v>1972</v>
      </c>
      <c r="C995" s="15" t="s">
        <v>1973</v>
      </c>
      <c r="D995" s="141"/>
      <c r="E995" s="15" t="s">
        <v>1974</v>
      </c>
      <c r="F995" s="141" t="str">
        <f>IF(wskakunin_gaiyou1_NINSYOU_NO="","",wskakunin_gaiyou1_NINSYOU_NO)</f>
        <v/>
      </c>
    </row>
    <row r="996" spans="1:6" ht="15" customHeight="1">
      <c r="A996" s="7"/>
      <c r="B996" s="46" t="s">
        <v>1975</v>
      </c>
      <c r="C996" s="15" t="s">
        <v>1976</v>
      </c>
      <c r="D996" s="141"/>
      <c r="E996" s="15" t="s">
        <v>1977</v>
      </c>
      <c r="F996" s="141" t="str">
        <f>IF(wskakunin_gaiyou1_SONOTA_and_NINSYOU_NO="","",wskakunin_gaiyou1_SONOTA_and_NINSYOU_NO)</f>
        <v/>
      </c>
    </row>
    <row r="997" spans="1:6" ht="15" customHeight="1">
      <c r="A997" s="7"/>
      <c r="B997" s="72"/>
      <c r="D997" s="18"/>
    </row>
    <row r="998" spans="1:6" ht="15" customHeight="1">
      <c r="A998" s="1" t="s">
        <v>1978</v>
      </c>
      <c r="B998" s="722"/>
      <c r="D998" s="18"/>
      <c r="F998" s="18"/>
    </row>
    <row r="999" spans="1:6" ht="15" customHeight="1">
      <c r="A999" s="773" t="s">
        <v>1979</v>
      </c>
      <c r="B999" s="71" t="s">
        <v>1980</v>
      </c>
      <c r="C999" s="15" t="s">
        <v>1981</v>
      </c>
      <c r="D999" s="239"/>
      <c r="E999" s="15" t="s">
        <v>1982</v>
      </c>
      <c r="F999" s="239" t="str">
        <f>IF(wskakunin_KENTIKU_MENSEKI_ZENTAI_SHINSEI="","",wskakunin_KENTIKU_MENSEKI_ZENTAI_SHINSEI)</f>
        <v/>
      </c>
    </row>
    <row r="1000" spans="1:6" ht="15" customHeight="1">
      <c r="A1000" s="773"/>
      <c r="B1000" s="71" t="s">
        <v>1983</v>
      </c>
      <c r="C1000" s="15" t="s">
        <v>1984</v>
      </c>
      <c r="D1000" s="239"/>
      <c r="E1000" s="15" t="s">
        <v>1985</v>
      </c>
      <c r="F1000" s="239" t="str">
        <f>IF(wskakunin_KENTIKU_MENSEKI_ZENTAI_IGAI="","",wskakunin_KENTIKU_MENSEKI_ZENTAI_IGAI)</f>
        <v/>
      </c>
    </row>
    <row r="1001" spans="1:6" ht="15" customHeight="1">
      <c r="A1001" s="773"/>
      <c r="B1001" s="71" t="s">
        <v>1986</v>
      </c>
      <c r="C1001" s="15" t="s">
        <v>1987</v>
      </c>
      <c r="D1001" s="239"/>
      <c r="E1001" s="15" t="s">
        <v>1988</v>
      </c>
      <c r="F1001" s="239" t="str">
        <f>IF(wskakunin_KENTIKU_MENSEKI_ZENTAI_TOTAL="","",wskakunin_KENTIKU_MENSEKI_ZENTAI_TOTAL)</f>
        <v/>
      </c>
    </row>
    <row r="1002" spans="1:6" ht="15" customHeight="1">
      <c r="A1002" s="773" t="s">
        <v>1989</v>
      </c>
      <c r="B1002" s="71" t="s">
        <v>1980</v>
      </c>
      <c r="C1002" s="15" t="s">
        <v>1990</v>
      </c>
      <c r="D1002" s="239"/>
      <c r="E1002" s="15" t="s">
        <v>1991</v>
      </c>
      <c r="F1002" s="239" t="str">
        <f>IF(wskakunin_KENTIKU_MENSEKI_SHINSEI="", "", wskakunin_KENTIKU_MENSEKI_SHINSEI)</f>
        <v/>
      </c>
    </row>
    <row r="1003" spans="1:6" ht="15" customHeight="1">
      <c r="A1003" s="773"/>
      <c r="B1003" s="71" t="s">
        <v>1983</v>
      </c>
      <c r="C1003" s="15" t="s">
        <v>1992</v>
      </c>
      <c r="D1003" s="239"/>
      <c r="E1003" s="15" t="s">
        <v>1993</v>
      </c>
      <c r="F1003" s="239" t="str">
        <f>IF(wskakunin_KENTIKU_MENSEKI_IGAI="","",wskakunin_KENTIKU_MENSEKI_IGAI)</f>
        <v/>
      </c>
    </row>
    <row r="1004" spans="1:6" ht="15" customHeight="1">
      <c r="A1004" s="773"/>
      <c r="B1004" s="71" t="s">
        <v>1986</v>
      </c>
      <c r="C1004" s="15" t="s">
        <v>1994</v>
      </c>
      <c r="D1004" s="239"/>
      <c r="E1004" s="15" t="s">
        <v>1995</v>
      </c>
      <c r="F1004" s="239" t="str">
        <f>IF(wskakunin_KENTIKU_MENSEKI_TOTAL="","",wskakunin_KENTIKU_MENSEKI_TOTAL)</f>
        <v/>
      </c>
    </row>
    <row r="1005" spans="1:6" ht="15" customHeight="1">
      <c r="A1005" s="7"/>
      <c r="B1005" s="71" t="s">
        <v>1842</v>
      </c>
      <c r="C1005" s="15" t="s">
        <v>1996</v>
      </c>
      <c r="D1005" s="239"/>
      <c r="E1005" s="15" t="s">
        <v>1997</v>
      </c>
      <c r="F1005" s="239" t="str">
        <f>IF(wskakunin_KENPEI_RITU="","",wskakunin_KENPEI_RITU)</f>
        <v/>
      </c>
    </row>
    <row r="1006" spans="1:6" ht="15" customHeight="1">
      <c r="A1006" s="8"/>
      <c r="B1006" s="72"/>
    </row>
    <row r="1007" spans="1:6" ht="15" customHeight="1">
      <c r="A1007" s="67" t="s">
        <v>1998</v>
      </c>
      <c r="B1007" s="68"/>
      <c r="D1007" s="18"/>
      <c r="F1007" s="18"/>
    </row>
    <row r="1008" spans="1:6" ht="15" customHeight="1">
      <c r="A1008" s="7" t="s">
        <v>1979</v>
      </c>
      <c r="B1008" s="29"/>
      <c r="D1008" s="18"/>
      <c r="F1008" s="18"/>
    </row>
    <row r="1009" spans="1:6" ht="15" customHeight="1">
      <c r="A1009" s="7"/>
      <c r="B1009" s="71" t="s">
        <v>1980</v>
      </c>
      <c r="C1009" s="15" t="s">
        <v>1999</v>
      </c>
      <c r="D1009" s="238"/>
      <c r="E1009" s="15" t="s">
        <v>2000</v>
      </c>
      <c r="F1009" s="238" t="str">
        <f>IF(wskakunin_NOBE_MENSEKI_BUILD_SHINSEI="", "", wskakunin_NOBE_MENSEKI_BUILD_SHINSEI)</f>
        <v/>
      </c>
    </row>
    <row r="1010" spans="1:6" ht="15" customHeight="1">
      <c r="A1010" s="7"/>
      <c r="B1010" s="71" t="s">
        <v>1983</v>
      </c>
      <c r="C1010" s="15" t="s">
        <v>2001</v>
      </c>
      <c r="D1010" s="238"/>
      <c r="E1010" s="15" t="s">
        <v>2002</v>
      </c>
      <c r="F1010" s="238" t="str">
        <f>IF(wskakunin_NOBE_MENSEKI_BUILD_IGAI="","",wskakunin_NOBE_MENSEKI_BUILD_IGAI)</f>
        <v/>
      </c>
    </row>
    <row r="1011" spans="1:6" ht="15" customHeight="1">
      <c r="A1011" s="7"/>
      <c r="B1011" s="71" t="s">
        <v>1986</v>
      </c>
      <c r="C1011" s="15" t="s">
        <v>2003</v>
      </c>
      <c r="D1011" s="238"/>
      <c r="E1011" s="15" t="s">
        <v>2004</v>
      </c>
      <c r="F1011" s="238" t="str">
        <f>IF(wskakunin_NOBE_MENSEKI_BUILD_TOTAL="","",wskakunin_NOBE_MENSEKI_BUILD_TOTAL)</f>
        <v/>
      </c>
    </row>
    <row r="1012" spans="1:6" ht="15" customHeight="1">
      <c r="A1012" s="7"/>
      <c r="B1012" s="46"/>
      <c r="D1012" s="106"/>
      <c r="F1012" s="106"/>
    </row>
    <row r="1013" spans="1:6" ht="15" customHeight="1">
      <c r="A1013" s="48" t="s">
        <v>2005</v>
      </c>
      <c r="B1013" s="69"/>
      <c r="D1013" s="106"/>
      <c r="F1013" s="106"/>
    </row>
    <row r="1014" spans="1:6" ht="15" customHeight="1">
      <c r="A1014" s="7"/>
      <c r="B1014" s="71" t="s">
        <v>1980</v>
      </c>
      <c r="C1014" s="15" t="s">
        <v>2006</v>
      </c>
      <c r="D1014" s="238"/>
      <c r="E1014" s="15" t="s">
        <v>2007</v>
      </c>
      <c r="F1014" s="238" t="str">
        <f>IF(wskakunin_NOBE_MENSEKI_TIKAI_SHINSEI="","",wskakunin_NOBE_MENSEKI_TIKAI_SHINSEI)</f>
        <v/>
      </c>
    </row>
    <row r="1015" spans="1:6" ht="15" customHeight="1">
      <c r="A1015" s="7"/>
      <c r="B1015" s="71" t="s">
        <v>1983</v>
      </c>
      <c r="C1015" s="15" t="s">
        <v>2008</v>
      </c>
      <c r="D1015" s="238"/>
      <c r="E1015" s="15" t="s">
        <v>2009</v>
      </c>
      <c r="F1015" s="238" t="str">
        <f>IF(wskakunin_NOBE_MENSEKI_TIKAI_IGAI="","",wskakunin_NOBE_MENSEKI_TIKAI_IGAI)</f>
        <v/>
      </c>
    </row>
    <row r="1016" spans="1:6" ht="15" customHeight="1">
      <c r="A1016" s="7"/>
      <c r="B1016" s="71" t="s">
        <v>1986</v>
      </c>
      <c r="C1016" s="15" t="s">
        <v>2010</v>
      </c>
      <c r="D1016" s="238"/>
      <c r="E1016" s="15" t="s">
        <v>2011</v>
      </c>
      <c r="F1016" s="238" t="str">
        <f>IF(wskakunin_NOBE_MENSEKI_TIKAI_TOTAL="","",wskakunin_NOBE_MENSEKI_TIKAI_TOTAL)</f>
        <v/>
      </c>
    </row>
    <row r="1017" spans="1:6" ht="15" customHeight="1">
      <c r="A1017" s="70"/>
      <c r="B1017" s="71"/>
      <c r="D1017" s="106"/>
      <c r="F1017" s="106"/>
    </row>
    <row r="1018" spans="1:6" ht="15" customHeight="1">
      <c r="A1018" s="48" t="s">
        <v>2012</v>
      </c>
      <c r="B1018" s="69"/>
      <c r="D1018" s="106"/>
      <c r="F1018" s="106"/>
    </row>
    <row r="1019" spans="1:6" ht="15" customHeight="1">
      <c r="A1019" s="7"/>
      <c r="B1019" s="71" t="s">
        <v>1980</v>
      </c>
      <c r="C1019" s="15" t="s">
        <v>2013</v>
      </c>
      <c r="D1019" s="238"/>
      <c r="E1019" s="15" t="s">
        <v>2014</v>
      </c>
      <c r="F1019" s="238" t="str">
        <f>IF(wskakunin_NOBE_MENSEKI_SYOUKOURO_SHINSEI="","",wskakunin_NOBE_MENSEKI_SYOUKOURO_SHINSEI)</f>
        <v/>
      </c>
    </row>
    <row r="1020" spans="1:6" ht="15" customHeight="1">
      <c r="A1020" s="7"/>
      <c r="B1020" s="71" t="s">
        <v>1983</v>
      </c>
      <c r="C1020" s="15" t="s">
        <v>2015</v>
      </c>
      <c r="D1020" s="238"/>
      <c r="E1020" s="15" t="s">
        <v>2016</v>
      </c>
      <c r="F1020" s="238" t="str">
        <f>IF(wskakunin_NOBE_MENSEKI_SYOUKOURO_IGAI="","",wskakunin_NOBE_MENSEKI_SYOUKOURO_IGAI)</f>
        <v/>
      </c>
    </row>
    <row r="1021" spans="1:6" ht="15" customHeight="1">
      <c r="A1021" s="7"/>
      <c r="B1021" s="71" t="s">
        <v>1986</v>
      </c>
      <c r="C1021" s="15" t="s">
        <v>2017</v>
      </c>
      <c r="D1021" s="238"/>
      <c r="E1021" s="15" t="s">
        <v>2018</v>
      </c>
      <c r="F1021" s="238" t="str">
        <f>IF(wskakunin_NOBE_MENSEKI_SYOUKOURO_TOTAL="","",wskakunin_NOBE_MENSEKI_SYOUKOURO_TOTAL)</f>
        <v/>
      </c>
    </row>
    <row r="1022" spans="1:6" ht="15" customHeight="1">
      <c r="A1022" s="70"/>
      <c r="B1022" s="71"/>
      <c r="D1022" s="106"/>
      <c r="F1022" s="106"/>
    </row>
    <row r="1023" spans="1:6" ht="15" customHeight="1">
      <c r="A1023" s="48" t="s">
        <v>2019</v>
      </c>
      <c r="B1023" s="69"/>
      <c r="D1023" s="106"/>
      <c r="F1023" s="106"/>
    </row>
    <row r="1024" spans="1:6" ht="15" customHeight="1">
      <c r="A1024" s="7"/>
      <c r="B1024" s="71" t="s">
        <v>1980</v>
      </c>
      <c r="C1024" s="15" t="s">
        <v>2020</v>
      </c>
      <c r="D1024" s="238"/>
      <c r="E1024" s="15" t="s">
        <v>2021</v>
      </c>
      <c r="F1024" s="238" t="str">
        <f>IF(wskakunin_NOBE_MENSEKI_KYOYOU_SHINSEI="","",wskakunin_NOBE_MENSEKI_KYOYOU_SHINSEI)</f>
        <v/>
      </c>
    </row>
    <row r="1025" spans="1:6" ht="15" customHeight="1">
      <c r="A1025" s="7"/>
      <c r="B1025" s="71" t="s">
        <v>1983</v>
      </c>
      <c r="C1025" s="15" t="s">
        <v>2022</v>
      </c>
      <c r="D1025" s="238"/>
      <c r="E1025" s="15" t="s">
        <v>2023</v>
      </c>
      <c r="F1025" s="238" t="str">
        <f>IF(wskakunin_NOBE_MENSEKI_KYOYOU_IGAI="","",wskakunin_NOBE_MENSEKI_KYOYOU_IGAI)</f>
        <v/>
      </c>
    </row>
    <row r="1026" spans="1:6" ht="15" customHeight="1">
      <c r="A1026" s="7"/>
      <c r="B1026" s="71" t="s">
        <v>1986</v>
      </c>
      <c r="C1026" s="15" t="s">
        <v>2024</v>
      </c>
      <c r="D1026" s="238"/>
      <c r="E1026" s="15" t="s">
        <v>2025</v>
      </c>
      <c r="F1026" s="238" t="str">
        <f>IF(wskakunin_NOBE_MENSEKI_KYOYOU_TOTAL="","",wskakunin_NOBE_MENSEKI_KYOYOU_TOTAL)</f>
        <v/>
      </c>
    </row>
    <row r="1027" spans="1:6" ht="15" customHeight="1">
      <c r="A1027" s="70"/>
      <c r="B1027" s="71"/>
      <c r="D1027" s="106"/>
      <c r="F1027" s="106"/>
    </row>
    <row r="1028" spans="1:6" ht="15" customHeight="1">
      <c r="A1028" s="48" t="s">
        <v>2026</v>
      </c>
      <c r="B1028" s="69"/>
      <c r="D1028" s="106"/>
      <c r="F1028" s="106"/>
    </row>
    <row r="1029" spans="1:6" ht="15" customHeight="1">
      <c r="A1029" s="7"/>
      <c r="B1029" s="71" t="s">
        <v>1980</v>
      </c>
      <c r="C1029" s="15" t="s">
        <v>2027</v>
      </c>
      <c r="D1029" s="238"/>
      <c r="E1029" s="15" t="s">
        <v>2028</v>
      </c>
      <c r="F1029" s="238" t="str">
        <f>IF(wskakunin_NOBE_MENSEKI_KIKAI_SHINSEI="","",wskakunin_NOBE_MENSEKI_KIKAI_SHINSEI)</f>
        <v/>
      </c>
    </row>
    <row r="1030" spans="1:6" ht="15" customHeight="1">
      <c r="A1030" s="7"/>
      <c r="B1030" s="71" t="s">
        <v>1983</v>
      </c>
      <c r="C1030" s="15" t="s">
        <v>2029</v>
      </c>
      <c r="D1030" s="238"/>
      <c r="E1030" s="15" t="s">
        <v>2030</v>
      </c>
      <c r="F1030" s="238" t="str">
        <f>IF(wskakunin_NOBE_MENSEKI_KIKAI_IGAI="","",wskakunin_NOBE_MENSEKI_KIKAI_IGAI)</f>
        <v/>
      </c>
    </row>
    <row r="1031" spans="1:6" ht="15" customHeight="1">
      <c r="A1031" s="7"/>
      <c r="B1031" s="71" t="s">
        <v>1986</v>
      </c>
      <c r="C1031" s="15" t="s">
        <v>2031</v>
      </c>
      <c r="D1031" s="238"/>
      <c r="E1031" s="15" t="s">
        <v>2032</v>
      </c>
      <c r="F1031" s="238" t="str">
        <f>IF(wskakunin_NOBE_MENSEKI_KIKAI_TOTAL="","",wskakunin_NOBE_MENSEKI_KIKAI_TOTAL)</f>
        <v/>
      </c>
    </row>
    <row r="1032" spans="1:6" ht="15" customHeight="1">
      <c r="A1032" s="70"/>
      <c r="B1032" s="71"/>
      <c r="D1032" s="106"/>
      <c r="F1032" s="106"/>
    </row>
    <row r="1033" spans="1:6" ht="15" customHeight="1">
      <c r="A1033" s="48" t="s">
        <v>2033</v>
      </c>
      <c r="B1033" s="69"/>
      <c r="D1033" s="106"/>
      <c r="F1033" s="106"/>
    </row>
    <row r="1034" spans="1:6" ht="15" customHeight="1">
      <c r="A1034" s="7"/>
      <c r="B1034" s="71" t="s">
        <v>1980</v>
      </c>
      <c r="C1034" s="15" t="s">
        <v>2034</v>
      </c>
      <c r="D1034" s="238"/>
      <c r="E1034" s="15" t="s">
        <v>2035</v>
      </c>
      <c r="F1034" s="238" t="str">
        <f>IF(wskakunin_NOBE_MENSEKI_SYAKO_SHINSEI="","",wskakunin_NOBE_MENSEKI_SYAKO_SHINSEI)</f>
        <v/>
      </c>
    </row>
    <row r="1035" spans="1:6" ht="15" customHeight="1">
      <c r="A1035" s="7"/>
      <c r="B1035" s="71" t="s">
        <v>1983</v>
      </c>
      <c r="C1035" s="15" t="s">
        <v>2036</v>
      </c>
      <c r="D1035" s="238"/>
      <c r="E1035" s="15" t="s">
        <v>2037</v>
      </c>
      <c r="F1035" s="238" t="str">
        <f>IF(wskakunin_NOBE_MENSEKI_SYAKO_IGAI="","",wskakunin_NOBE_MENSEKI_SYAKO_IGAI)</f>
        <v/>
      </c>
    </row>
    <row r="1036" spans="1:6" ht="15" customHeight="1">
      <c r="A1036" s="7"/>
      <c r="B1036" s="71" t="s">
        <v>1986</v>
      </c>
      <c r="C1036" s="15" t="s">
        <v>2038</v>
      </c>
      <c r="D1036" s="238"/>
      <c r="E1036" s="15" t="s">
        <v>2039</v>
      </c>
      <c r="F1036" s="238" t="str">
        <f>IF(wskakunin_NOBE_MENSEKI_SYAKO_TOTAL="","",wskakunin_NOBE_MENSEKI_SYAKO_TOTAL)</f>
        <v/>
      </c>
    </row>
    <row r="1037" spans="1:6" ht="15" customHeight="1">
      <c r="A1037" s="70"/>
      <c r="B1037" s="71"/>
      <c r="D1037" s="106"/>
      <c r="F1037" s="106"/>
    </row>
    <row r="1038" spans="1:6" ht="15" customHeight="1">
      <c r="A1038" s="48" t="s">
        <v>2040</v>
      </c>
      <c r="B1038" s="69"/>
      <c r="D1038" s="106"/>
      <c r="F1038" s="106"/>
    </row>
    <row r="1039" spans="1:6" ht="15" customHeight="1">
      <c r="A1039" s="7"/>
      <c r="B1039" s="71" t="s">
        <v>1980</v>
      </c>
      <c r="C1039" s="15" t="s">
        <v>2041</v>
      </c>
      <c r="D1039" s="238"/>
      <c r="E1039" s="15" t="s">
        <v>2042</v>
      </c>
      <c r="F1039" s="238" t="str">
        <f>IF(wskakunin_NOBE_MENSEKI_BITIKUSOUKO_SHINSEI="","",wskakunin_NOBE_MENSEKI_BITIKUSOUKO_SHINSEI)</f>
        <v/>
      </c>
    </row>
    <row r="1040" spans="1:6" ht="15" customHeight="1">
      <c r="A1040" s="7"/>
      <c r="B1040" s="71" t="s">
        <v>1983</v>
      </c>
      <c r="C1040" s="15" t="s">
        <v>2043</v>
      </c>
      <c r="D1040" s="238"/>
      <c r="E1040" s="15" t="s">
        <v>2044</v>
      </c>
      <c r="F1040" s="238" t="str">
        <f>IF(wskakunin_NOBE_MENSEKI_BITIKUSOUKO_IGAI="","",wskakunin_NOBE_MENSEKI_BITIKUSOUKO_IGAI)</f>
        <v/>
      </c>
    </row>
    <row r="1041" spans="1:7" ht="15" customHeight="1">
      <c r="A1041" s="7"/>
      <c r="B1041" s="71" t="s">
        <v>1986</v>
      </c>
      <c r="C1041" s="15" t="s">
        <v>2045</v>
      </c>
      <c r="D1041" s="238"/>
      <c r="E1041" s="15" t="s">
        <v>2046</v>
      </c>
      <c r="F1041" s="238" t="str">
        <f>IF(wskakunin_NOBE_MENSEKI_BITIKUSOUKO_TOTAL="","",wskakunin_NOBE_MENSEKI_BITIKUSOUKO_TOTAL)</f>
        <v/>
      </c>
    </row>
    <row r="1042" spans="1:7" ht="15" customHeight="1">
      <c r="A1042" s="70"/>
      <c r="B1042" s="71"/>
      <c r="D1042" s="106"/>
      <c r="F1042" s="106"/>
    </row>
    <row r="1043" spans="1:7" ht="15" customHeight="1">
      <c r="A1043" s="48" t="s">
        <v>2047</v>
      </c>
      <c r="B1043" s="69"/>
      <c r="D1043" s="106"/>
      <c r="F1043" s="106"/>
    </row>
    <row r="1044" spans="1:7" ht="15" customHeight="1">
      <c r="A1044" s="7"/>
      <c r="B1044" s="71" t="s">
        <v>1980</v>
      </c>
      <c r="C1044" s="15" t="s">
        <v>2048</v>
      </c>
      <c r="D1044" s="238"/>
      <c r="E1044" s="15" t="s">
        <v>2049</v>
      </c>
      <c r="F1044" s="238" t="str">
        <f>IF(wskakunin_NOBE_MENSEKI_TIKUDENTI_SHINSEI="","",wskakunin_NOBE_MENSEKI_TIKUDENTI_SHINSEI)</f>
        <v/>
      </c>
    </row>
    <row r="1045" spans="1:7" ht="15" customHeight="1">
      <c r="A1045" s="7"/>
      <c r="B1045" s="71" t="s">
        <v>1983</v>
      </c>
      <c r="C1045" s="15" t="s">
        <v>2050</v>
      </c>
      <c r="D1045" s="238"/>
      <c r="E1045" s="15" t="s">
        <v>2051</v>
      </c>
      <c r="F1045" s="238" t="str">
        <f>IF(wskakunin_NOBE_MENSEKI_TIKUDENTI_IGAI="","",wskakunin_NOBE_MENSEKI_TIKUDENTI_IGAI)</f>
        <v/>
      </c>
    </row>
    <row r="1046" spans="1:7" ht="15" customHeight="1">
      <c r="A1046" s="7"/>
      <c r="B1046" s="71" t="s">
        <v>1986</v>
      </c>
      <c r="C1046" s="15" t="s">
        <v>2052</v>
      </c>
      <c r="D1046" s="238"/>
      <c r="E1046" s="15" t="s">
        <v>2053</v>
      </c>
      <c r="F1046" s="238" t="str">
        <f>IF(wskakunin_NOBE_MENSEKI_TIKUDENTI_TOTAL="","",wskakunin_NOBE_MENSEKI_TIKUDENTI_TOTAL)</f>
        <v/>
      </c>
    </row>
    <row r="1047" spans="1:7" ht="15" customHeight="1">
      <c r="A1047" s="70"/>
      <c r="B1047" s="71"/>
      <c r="D1047" s="106"/>
      <c r="F1047" s="106"/>
    </row>
    <row r="1048" spans="1:7" ht="15" customHeight="1">
      <c r="A1048" s="48" t="s">
        <v>2054</v>
      </c>
      <c r="B1048" s="69"/>
      <c r="D1048" s="106"/>
      <c r="F1048" s="106"/>
    </row>
    <row r="1049" spans="1:7" ht="15" customHeight="1">
      <c r="A1049" s="7"/>
      <c r="B1049" s="71" t="s">
        <v>1980</v>
      </c>
      <c r="C1049" s="15" t="s">
        <v>2055</v>
      </c>
      <c r="D1049" s="238"/>
      <c r="E1049" s="15" t="s">
        <v>2056</v>
      </c>
      <c r="F1049" s="238" t="str">
        <f>IF(wskakunin_NOBE_MENSEKI_JIKAHATUDEN_SHINSEI="","",wskakunin_NOBE_MENSEKI_JIKAHATUDEN_SHINSEI)</f>
        <v/>
      </c>
    </row>
    <row r="1050" spans="1:7" ht="15" customHeight="1">
      <c r="A1050" s="7"/>
      <c r="B1050" s="71" t="s">
        <v>1983</v>
      </c>
      <c r="C1050" s="15" t="s">
        <v>2057</v>
      </c>
      <c r="D1050" s="238"/>
      <c r="E1050" s="15" t="s">
        <v>2058</v>
      </c>
      <c r="F1050" s="238" t="str">
        <f>IF(wskakunin_NOBE_MENSEKI_JIKAHATUDEN_IGAI="","",wskakunin_NOBE_MENSEKI_JIKAHATUDEN_IGAI)</f>
        <v/>
      </c>
      <c r="G1050" s="15" t="s">
        <v>1832</v>
      </c>
    </row>
    <row r="1051" spans="1:7" ht="15" customHeight="1">
      <c r="A1051" s="7"/>
      <c r="B1051" s="71" t="s">
        <v>1986</v>
      </c>
      <c r="C1051" s="15" t="s">
        <v>2059</v>
      </c>
      <c r="D1051" s="238"/>
      <c r="E1051" s="15" t="s">
        <v>2060</v>
      </c>
      <c r="F1051" s="238" t="str">
        <f>IF(wskakunin_NOBE_MENSEKI_JIKAHATUDEN_TOTAL="","",wskakunin_NOBE_MENSEKI_JIKAHATUDEN_TOTAL)</f>
        <v/>
      </c>
      <c r="G1051" s="15" t="s">
        <v>2061</v>
      </c>
    </row>
    <row r="1052" spans="1:7" ht="15" customHeight="1">
      <c r="A1052" s="70"/>
      <c r="B1052" s="71"/>
      <c r="D1052" s="106"/>
      <c r="F1052" s="106"/>
    </row>
    <row r="1053" spans="1:7" ht="15" customHeight="1">
      <c r="A1053" s="48" t="s">
        <v>2062</v>
      </c>
      <c r="B1053" s="69"/>
      <c r="D1053" s="106"/>
      <c r="F1053" s="106"/>
    </row>
    <row r="1054" spans="1:7" ht="15" customHeight="1">
      <c r="A1054" s="7"/>
      <c r="B1054" s="71" t="s">
        <v>1980</v>
      </c>
      <c r="C1054" s="15" t="s">
        <v>2063</v>
      </c>
      <c r="D1054" s="238"/>
      <c r="E1054" s="15" t="s">
        <v>2064</v>
      </c>
      <c r="F1054" s="238" t="str">
        <f>IF(wskakunin_NOBE_MENSEKI_CHOSUISOU_SHINSEI="","",wskakunin_NOBE_MENSEKI_CHOSUISOU_SHINSEI)</f>
        <v/>
      </c>
      <c r="G1054" s="15" t="s">
        <v>1832</v>
      </c>
    </row>
    <row r="1055" spans="1:7" ht="15" customHeight="1">
      <c r="A1055" s="7"/>
      <c r="B1055" s="71" t="s">
        <v>1983</v>
      </c>
      <c r="C1055" s="15" t="s">
        <v>2065</v>
      </c>
      <c r="D1055" s="238"/>
      <c r="E1055" s="15" t="s">
        <v>2066</v>
      </c>
      <c r="F1055" s="238" t="str">
        <f>IF(wskakunin_NOBE_MENSEKI_CHOSUISOU_IGAI="","",wskakunin_NOBE_MENSEKI_CHOSUISOU_IGAI)</f>
        <v/>
      </c>
      <c r="G1055" s="15" t="s">
        <v>1832</v>
      </c>
    </row>
    <row r="1056" spans="1:7" ht="15" customHeight="1">
      <c r="A1056" s="7"/>
      <c r="B1056" s="71" t="s">
        <v>1986</v>
      </c>
      <c r="C1056" s="15" t="s">
        <v>2067</v>
      </c>
      <c r="D1056" s="238"/>
      <c r="E1056" s="15" t="s">
        <v>2068</v>
      </c>
      <c r="F1056" s="238" t="str">
        <f>IF(wskakunin_NOBE_MENSEKI_CHOSUISOU_TOTAL="","",wskakunin_NOBE_MENSEKI_CHOSUISOU_TOTAL)</f>
        <v/>
      </c>
      <c r="G1056" s="15" t="s">
        <v>1832</v>
      </c>
    </row>
    <row r="1057" spans="1:6" ht="15" customHeight="1">
      <c r="A1057" s="70"/>
      <c r="B1057" s="71"/>
      <c r="D1057" s="106"/>
      <c r="F1057" s="106"/>
    </row>
    <row r="1058" spans="1:6" ht="15" customHeight="1">
      <c r="A1058" s="771" t="s">
        <v>2069</v>
      </c>
      <c r="B1058" s="772"/>
      <c r="D1058" s="106"/>
      <c r="F1058" s="106"/>
    </row>
    <row r="1059" spans="1:6" ht="15" customHeight="1">
      <c r="A1059" s="7"/>
      <c r="B1059" s="71" t="s">
        <v>1980</v>
      </c>
      <c r="C1059" s="15" t="s">
        <v>2070</v>
      </c>
      <c r="D1059" s="238"/>
      <c r="E1059" s="15" t="s">
        <v>2071</v>
      </c>
      <c r="F1059" s="238" t="str">
        <f>IF(wskakunin_NOBE_MENSEKI_TAKUHAI_SHINSEI="","",wskakunin_NOBE_MENSEKI_TAKUHAI_SHINSEI)</f>
        <v/>
      </c>
    </row>
    <row r="1060" spans="1:6" ht="15" customHeight="1">
      <c r="A1060" s="7"/>
      <c r="B1060" s="71" t="s">
        <v>1983</v>
      </c>
      <c r="C1060" s="15" t="s">
        <v>2072</v>
      </c>
      <c r="D1060" s="238"/>
      <c r="E1060" s="15" t="s">
        <v>2073</v>
      </c>
      <c r="F1060" s="238" t="str">
        <f>IF(wskakunin_NOBE_MENSEKI_TAKUHAI_IGAI="","",wskakunin_NOBE_MENSEKI_TAKUHAI_IGAI)</f>
        <v/>
      </c>
    </row>
    <row r="1061" spans="1:6" ht="15" customHeight="1">
      <c r="A1061" s="7"/>
      <c r="B1061" s="71" t="s">
        <v>1986</v>
      </c>
      <c r="C1061" s="15" t="s">
        <v>2074</v>
      </c>
      <c r="D1061" s="238"/>
      <c r="E1061" s="15" t="s">
        <v>2075</v>
      </c>
      <c r="F1061" s="238" t="str">
        <f>IF(wskakunin_NOBE_MENSEKI_TAKUHAI_TOTAL="","",wskakunin_NOBE_MENSEKI_TAKUHAI_TOTAL)</f>
        <v/>
      </c>
    </row>
    <row r="1062" spans="1:6" ht="15" customHeight="1">
      <c r="A1062" s="7"/>
      <c r="B1062" s="71"/>
      <c r="D1062" s="106"/>
      <c r="F1062" s="106"/>
    </row>
    <row r="1063" spans="1:6" ht="15" customHeight="1">
      <c r="A1063" s="48" t="s">
        <v>2076</v>
      </c>
      <c r="B1063" s="69"/>
      <c r="D1063" s="106"/>
      <c r="F1063" s="106"/>
    </row>
    <row r="1064" spans="1:6" ht="15" customHeight="1">
      <c r="A1064" s="7"/>
      <c r="B1064" s="71" t="s">
        <v>1980</v>
      </c>
      <c r="C1064" s="15" t="s">
        <v>2077</v>
      </c>
      <c r="D1064" s="239"/>
      <c r="E1064" s="15" t="s">
        <v>2078</v>
      </c>
      <c r="F1064" s="239" t="str">
        <f>IF(wskakunin_NOBE_MENSEKI_FUSANNYU_SHINSEI="","",wskakunin_NOBE_MENSEKI_FUSANNYU_SHINSEI)</f>
        <v/>
      </c>
    </row>
    <row r="1065" spans="1:6" ht="15" customHeight="1">
      <c r="A1065" s="7"/>
      <c r="B1065" s="71" t="s">
        <v>1983</v>
      </c>
      <c r="C1065" s="15" t="s">
        <v>2079</v>
      </c>
      <c r="D1065" s="238"/>
      <c r="E1065" s="15" t="s">
        <v>2080</v>
      </c>
      <c r="F1065" s="238" t="str">
        <f>IF(wskakunin_NOBE_MENSEKI_FUSANNYU_IGAI="","",wskakunin_NOBE_MENSEKI_FUSANNYU_IGAI)</f>
        <v/>
      </c>
    </row>
    <row r="1066" spans="1:6" ht="15" customHeight="1">
      <c r="A1066" s="7"/>
      <c r="B1066" s="71" t="s">
        <v>1986</v>
      </c>
      <c r="C1066" s="15" t="s">
        <v>2081</v>
      </c>
      <c r="D1066" s="238"/>
      <c r="E1066" s="15" t="s">
        <v>2082</v>
      </c>
      <c r="F1066" s="238" t="str">
        <f>IF(wskakunin_NOBE_MENSEKI_FUSANNYU_TOTAL="","",wskakunin_NOBE_MENSEKI_FUSANNYU_TOTAL)</f>
        <v/>
      </c>
    </row>
    <row r="1067" spans="1:6" ht="15" customHeight="1">
      <c r="A1067" s="70"/>
      <c r="B1067" s="71"/>
      <c r="D1067" s="106"/>
      <c r="F1067" s="106"/>
    </row>
    <row r="1068" spans="1:6" ht="15" customHeight="1">
      <c r="A1068" s="48" t="s">
        <v>2083</v>
      </c>
      <c r="B1068" s="69"/>
      <c r="D1068" s="106"/>
      <c r="F1068" s="106"/>
    </row>
    <row r="1069" spans="1:6" ht="15" customHeight="1">
      <c r="A1069" s="7"/>
      <c r="B1069" s="71" t="s">
        <v>1980</v>
      </c>
      <c r="C1069" s="15" t="s">
        <v>2084</v>
      </c>
      <c r="D1069" s="239"/>
      <c r="E1069" s="15" t="s">
        <v>2085</v>
      </c>
      <c r="F1069" s="239" t="str">
        <f>IF(wskakunin_NOBE_MENSEKI_JYUTAKU_SHINSEI="", "", wskakunin_NOBE_MENSEKI_JYUTAKU_SHINSEI)</f>
        <v/>
      </c>
    </row>
    <row r="1070" spans="1:6" ht="15" customHeight="1">
      <c r="A1070" s="7"/>
      <c r="B1070" s="71" t="s">
        <v>1983</v>
      </c>
      <c r="C1070" s="15" t="s">
        <v>2086</v>
      </c>
      <c r="D1070" s="238"/>
      <c r="E1070" s="15" t="s">
        <v>2087</v>
      </c>
      <c r="F1070" s="238" t="str">
        <f>IF(wskakunin_NOBE_MENSEKI_JYUTAKU_IGAI="","",wskakunin_NOBE_MENSEKI_JYUTAKU_IGAI)</f>
        <v/>
      </c>
    </row>
    <row r="1071" spans="1:6" ht="15" customHeight="1">
      <c r="A1071" s="7"/>
      <c r="B1071" s="71" t="s">
        <v>1986</v>
      </c>
      <c r="C1071" s="15" t="s">
        <v>2088</v>
      </c>
      <c r="D1071" s="238"/>
      <c r="E1071" s="15" t="s">
        <v>2089</v>
      </c>
      <c r="F1071" s="238" t="str">
        <f>IF(wskakunin_NOBE_MENSEKI_JYUTAKU_TOTAL="","",wskakunin_NOBE_MENSEKI_JYUTAKU_TOTAL)</f>
        <v/>
      </c>
    </row>
    <row r="1072" spans="1:6" ht="15" customHeight="1">
      <c r="A1072" s="70"/>
      <c r="B1072" s="71"/>
      <c r="D1072" s="106"/>
      <c r="F1072" s="106"/>
    </row>
    <row r="1073" spans="1:6" ht="15" customHeight="1">
      <c r="A1073" s="48" t="s">
        <v>2090</v>
      </c>
      <c r="B1073" s="69"/>
      <c r="D1073" s="106"/>
      <c r="F1073" s="106"/>
    </row>
    <row r="1074" spans="1:6" ht="15" customHeight="1">
      <c r="A1074" s="7"/>
      <c r="B1074" s="71" t="s">
        <v>1980</v>
      </c>
      <c r="C1074" s="15" t="s">
        <v>2091</v>
      </c>
      <c r="D1074" s="238"/>
      <c r="E1074" s="15" t="s">
        <v>2092</v>
      </c>
      <c r="F1074" s="238" t="str">
        <f>IF(wskakunin_NOBE_MENSEKI_ROUJIN_SHINSEI="","",wskakunin_NOBE_MENSEKI_ROUJIN_SHINSEI)</f>
        <v/>
      </c>
    </row>
    <row r="1075" spans="1:6" ht="15" customHeight="1">
      <c r="A1075" s="7"/>
      <c r="B1075" s="71" t="s">
        <v>1983</v>
      </c>
      <c r="C1075" s="15" t="s">
        <v>2093</v>
      </c>
      <c r="D1075" s="238"/>
      <c r="E1075" s="15" t="s">
        <v>2094</v>
      </c>
      <c r="F1075" s="238" t="str">
        <f>IF(wskakunin_NOBE_MENSEKI_ROUJIN_IGAI="","",wskakunin_NOBE_MENSEKI_ROUJIN_IGAI)</f>
        <v/>
      </c>
    </row>
    <row r="1076" spans="1:6" ht="15" customHeight="1">
      <c r="A1076" s="7"/>
      <c r="B1076" s="71" t="s">
        <v>1986</v>
      </c>
      <c r="C1076" s="15" t="s">
        <v>2095</v>
      </c>
      <c r="D1076" s="238"/>
      <c r="E1076" s="15" t="s">
        <v>2096</v>
      </c>
      <c r="F1076" s="238" t="str">
        <f>IF(wskakunin_NOBE_MENSEKI_ROUJIN_TOTAL="","",wskakunin_NOBE_MENSEKI_ROUJIN_TOTAL)</f>
        <v/>
      </c>
    </row>
    <row r="1077" spans="1:6" ht="15" customHeight="1">
      <c r="A1077" s="70"/>
      <c r="B1077" s="71"/>
      <c r="D1077" s="106"/>
      <c r="F1077" s="106"/>
    </row>
    <row r="1078" spans="1:6" ht="15" customHeight="1">
      <c r="A1078" s="48" t="s">
        <v>2097</v>
      </c>
      <c r="B1078" s="69"/>
      <c r="D1078" s="106"/>
      <c r="F1078" s="106"/>
    </row>
    <row r="1079" spans="1:6" ht="15" customHeight="1">
      <c r="A1079" s="7"/>
      <c r="B1079" s="71" t="s">
        <v>1986</v>
      </c>
      <c r="C1079" s="15" t="s">
        <v>2098</v>
      </c>
      <c r="D1079" s="238"/>
      <c r="E1079" s="15" t="s">
        <v>2099</v>
      </c>
      <c r="F1079" s="238" t="str">
        <f>IF(wskakunin_NOBE_MENSEKI="","",wskakunin_NOBE_MENSEKI)</f>
        <v/>
      </c>
    </row>
    <row r="1080" spans="1:6" ht="15" customHeight="1">
      <c r="A1080" s="70"/>
      <c r="B1080" s="71"/>
      <c r="D1080" s="106"/>
      <c r="F1080" s="106"/>
    </row>
    <row r="1081" spans="1:6" ht="15" customHeight="1">
      <c r="A1081" s="48" t="s">
        <v>1833</v>
      </c>
      <c r="B1081" s="69"/>
      <c r="D1081" s="106"/>
      <c r="F1081" s="106"/>
    </row>
    <row r="1082" spans="1:6" ht="15" customHeight="1">
      <c r="A1082" s="7"/>
      <c r="B1082" s="71" t="s">
        <v>1986</v>
      </c>
      <c r="C1082" s="15" t="s">
        <v>2100</v>
      </c>
      <c r="D1082" s="238"/>
      <c r="E1082" s="15" t="s">
        <v>2101</v>
      </c>
      <c r="F1082" s="238" t="str">
        <f>IF(wskakunin_YOUSEKI_RITU="","",wskakunin_YOUSEKI_RITU)</f>
        <v/>
      </c>
    </row>
    <row r="1083" spans="1:6" ht="15" customHeight="1">
      <c r="A1083" s="70"/>
      <c r="B1083" s="71"/>
      <c r="D1083" s="106"/>
      <c r="F1083" s="106"/>
    </row>
    <row r="1084" spans="1:6" ht="15" customHeight="1">
      <c r="A1084" s="7" t="s">
        <v>2102</v>
      </c>
      <c r="B1084" s="29"/>
      <c r="D1084" s="18"/>
      <c r="F1084" s="18"/>
    </row>
    <row r="1085" spans="1:6" ht="15" customHeight="1">
      <c r="A1085" s="7"/>
      <c r="B1085" s="71" t="s">
        <v>2103</v>
      </c>
      <c r="C1085" s="15" t="s">
        <v>2104</v>
      </c>
      <c r="D1085" s="141"/>
      <c r="E1085" s="15" t="s">
        <v>2105</v>
      </c>
      <c r="F1085" s="141" t="str">
        <f>IF(wskakunin_BUILD_SHINSEI_COUNT="","",wskakunin_BUILD_SHINSEI_COUNT)</f>
        <v/>
      </c>
    </row>
    <row r="1086" spans="1:6" ht="15" customHeight="1">
      <c r="A1086" s="7"/>
      <c r="B1086" s="71" t="s">
        <v>2106</v>
      </c>
      <c r="C1086" s="15" t="s">
        <v>2107</v>
      </c>
      <c r="D1086" s="141"/>
      <c r="E1086" s="15" t="s">
        <v>2108</v>
      </c>
      <c r="F1086" s="141" t="str">
        <f>IF(wskakunin_BUILD_SONOTA_COUNT="","",wskakunin_BUILD_SONOTA_COUNT)</f>
        <v/>
      </c>
    </row>
    <row r="1087" spans="1:6" ht="15" customHeight="1">
      <c r="A1087" s="8"/>
      <c r="B1087" s="72"/>
      <c r="D1087" s="18"/>
      <c r="F1087" s="18"/>
    </row>
    <row r="1088" spans="1:6" ht="15" customHeight="1">
      <c r="A1088" s="67" t="s">
        <v>2109</v>
      </c>
      <c r="B1088" s="68"/>
      <c r="D1088" s="18"/>
      <c r="F1088" s="18"/>
    </row>
    <row r="1089" spans="1:6" ht="15" customHeight="1">
      <c r="A1089" s="48" t="s">
        <v>2110</v>
      </c>
      <c r="B1089" s="69"/>
      <c r="D1089" s="18"/>
      <c r="F1089" s="18"/>
    </row>
    <row r="1090" spans="1:6" ht="15" customHeight="1">
      <c r="A1090" s="7"/>
      <c r="B1090" s="71" t="s">
        <v>2111</v>
      </c>
      <c r="C1090" s="15" t="s">
        <v>2112</v>
      </c>
      <c r="D1090" s="237"/>
      <c r="E1090" s="15" t="s">
        <v>2113</v>
      </c>
      <c r="F1090" s="237" t="str">
        <f>IF(wskakunin_TAKASA_MAX_SHINSEI="","",wskakunin_TAKASA_MAX_SHINSEI)</f>
        <v/>
      </c>
    </row>
    <row r="1091" spans="1:6" ht="15" customHeight="1">
      <c r="A1091" s="70"/>
      <c r="B1091" s="71" t="s">
        <v>2114</v>
      </c>
      <c r="C1091" s="15" t="s">
        <v>2115</v>
      </c>
      <c r="D1091" s="237"/>
      <c r="E1091" s="15" t="s">
        <v>2116</v>
      </c>
      <c r="F1091" s="237" t="str">
        <f>IF(wskakunin_TAKASA_MAX_SONOTA="","",wskakunin_TAKASA_MAX_SONOTA)</f>
        <v/>
      </c>
    </row>
    <row r="1092" spans="1:6" ht="15" customHeight="1">
      <c r="A1092" s="48" t="s">
        <v>2117</v>
      </c>
      <c r="B1092" s="69"/>
      <c r="D1092" s="18"/>
      <c r="F1092" s="18"/>
    </row>
    <row r="1093" spans="1:6" ht="15" customHeight="1">
      <c r="A1093" s="7"/>
      <c r="B1093" s="71" t="s">
        <v>2111</v>
      </c>
      <c r="C1093" s="15" t="s">
        <v>2118</v>
      </c>
      <c r="D1093" s="220"/>
      <c r="E1093" s="15" t="s">
        <v>2119</v>
      </c>
      <c r="F1093" s="141" t="str">
        <f>IF(wskakunin_KAISU_TIJYOU_SHINSEI="", "", wskakunin_KAISU_TIJYOU_SHINSEI)</f>
        <v/>
      </c>
    </row>
    <row r="1094" spans="1:6" ht="15" customHeight="1">
      <c r="A1094" s="70"/>
      <c r="B1094" s="71" t="s">
        <v>2114</v>
      </c>
      <c r="C1094" s="15" t="s">
        <v>2120</v>
      </c>
      <c r="D1094" s="141"/>
      <c r="E1094" s="15" t="s">
        <v>2121</v>
      </c>
      <c r="F1094" s="141" t="str">
        <f>IF(wskakunin_KAISU_TIJYOU_SONOTA="","",wskakunin_KAISU_TIJYOU_SONOTA)</f>
        <v/>
      </c>
    </row>
    <row r="1095" spans="1:6" ht="15" customHeight="1">
      <c r="A1095" s="48" t="s">
        <v>2122</v>
      </c>
      <c r="B1095" s="69"/>
      <c r="D1095" s="18"/>
      <c r="F1095" s="18"/>
    </row>
    <row r="1096" spans="1:6" ht="15" customHeight="1">
      <c r="A1096" s="7"/>
      <c r="B1096" s="71" t="s">
        <v>2111</v>
      </c>
      <c r="C1096" s="15" t="s">
        <v>2123</v>
      </c>
      <c r="D1096" s="220" t="s">
        <v>2124</v>
      </c>
      <c r="E1096" s="15" t="s">
        <v>2125</v>
      </c>
      <c r="F1096" s="141" t="str">
        <f>IF(wskakunin_KAISU_TIKA_SHINSEI__zero="", "", wskakunin_KAISU_TIKA_SHINSEI__zero)</f>
        <v>0</v>
      </c>
    </row>
    <row r="1097" spans="1:6" ht="15" customHeight="1">
      <c r="A1097" s="70"/>
      <c r="B1097" s="71" t="s">
        <v>2114</v>
      </c>
      <c r="C1097" s="15" t="s">
        <v>2126</v>
      </c>
      <c r="D1097" s="141"/>
      <c r="E1097" s="15" t="s">
        <v>2127</v>
      </c>
      <c r="F1097" s="141" t="str">
        <f>IF(wskakunin_KAISU_TIKA_SONOTA="","",wskakunin_KAISU_TIKA_SONOTA)</f>
        <v/>
      </c>
    </row>
    <row r="1098" spans="1:6" ht="15" customHeight="1">
      <c r="A1098" s="48" t="s">
        <v>1695</v>
      </c>
      <c r="B1098" s="69"/>
      <c r="D1098" s="18"/>
      <c r="F1098" s="18"/>
    </row>
    <row r="1099" spans="1:6" ht="15" customHeight="1">
      <c r="A1099" s="7"/>
      <c r="B1099" s="71" t="s">
        <v>1695</v>
      </c>
      <c r="C1099" s="15" t="s">
        <v>2128</v>
      </c>
      <c r="D1099" s="141"/>
      <c r="E1099" s="15" t="s">
        <v>2129</v>
      </c>
      <c r="F1099" s="141" t="str">
        <f>IF(wskakunin_KOUZOU1="","",wskakunin_KOUZOU1)</f>
        <v/>
      </c>
    </row>
    <row r="1100" spans="1:6" ht="15" customHeight="1">
      <c r="A1100" s="7"/>
      <c r="B1100" s="71" t="s">
        <v>2130</v>
      </c>
      <c r="C1100" s="15" t="s">
        <v>2131</v>
      </c>
      <c r="D1100" s="141"/>
      <c r="E1100" s="15" t="s">
        <v>2132</v>
      </c>
      <c r="F1100" s="141" t="str">
        <f>IF(wskakunin_KOUZOU2="","",wskakunin_KOUZOU2)</f>
        <v/>
      </c>
    </row>
    <row r="1101" spans="1:6" ht="15" customHeight="1">
      <c r="A1101" s="7"/>
      <c r="B1101" s="71"/>
      <c r="E1101" s="15" t="s">
        <v>2133</v>
      </c>
      <c r="F1101" s="15" t="str">
        <f>IF(OR(LEFT(wskakunin_KOUZOU1,2)="木造",LEFT(wskakunin_KOUZOU2,2)="木造"),"○","")</f>
        <v/>
      </c>
    </row>
    <row r="1102" spans="1:6" ht="15" customHeight="1">
      <c r="A1102" s="86"/>
      <c r="B1102" s="71"/>
      <c r="D1102" s="18"/>
      <c r="E1102" s="15" t="s">
        <v>2134</v>
      </c>
      <c r="F1102" s="18" t="str">
        <f>IF(OR(wskakunin_KOUZOU1="木造（在来工法）",wskakunin_KOUZOU1="木造（軸組工法）",wskakunin_KOUZOU1="木造（在来軸組工法）",wskakunin_KOUZOU1="木造（テクノストラクチャー）",wskakunin_KOUZOU2="木造（在来工法）",wskakunin_KOUZOU2="木造（軸組工法）",wskakunin_KOUZOU2="木造（在来軸組工法）",wskakunin_KOUZOU2="木造（テクノストラクチャー）"),"○","")</f>
        <v/>
      </c>
    </row>
    <row r="1103" spans="1:6" ht="15" customHeight="1">
      <c r="A1103" s="7"/>
      <c r="B1103" s="29"/>
      <c r="D1103" s="18"/>
      <c r="E1103" s="15" t="s">
        <v>2135</v>
      </c>
      <c r="F1103" s="141" t="str">
        <f>IF(cst_wskakunin_KOUZOU1="","",IF(AND(cst_wskakunin_KOUZOU1&lt;&gt;"",cst_wskakunin_KOUZOU2&lt;&gt;""),cst_wskakunin_KOUZOU1&amp;" 一部 "&amp;cst_wskakunin_KOUZOU2,cst_wskakunin_KOUZOU1))</f>
        <v/>
      </c>
    </row>
    <row r="1104" spans="1:6" ht="15" customHeight="1">
      <c r="A1104" s="7" t="s">
        <v>2136</v>
      </c>
      <c r="B1104" s="29"/>
    </row>
    <row r="1105" spans="1:6" ht="15" customHeight="1">
      <c r="A1105" s="7"/>
      <c r="B1105" s="71" t="s">
        <v>2137</v>
      </c>
      <c r="C1105" s="15" t="s">
        <v>2138</v>
      </c>
      <c r="D1105" s="141"/>
      <c r="E1105" s="15" t="s">
        <v>2139</v>
      </c>
      <c r="F1105" s="141" t="str">
        <f>IF(wskakunin_TOKUREI_TAKASA=1,"有","無")</f>
        <v>無</v>
      </c>
    </row>
    <row r="1106" spans="1:6" ht="15" customHeight="1">
      <c r="A1106" s="7"/>
      <c r="B1106" s="71" t="s">
        <v>2140</v>
      </c>
      <c r="D1106" s="18"/>
      <c r="E1106" s="15" t="s">
        <v>2141</v>
      </c>
      <c r="F1106" s="141" t="str">
        <f>IF(wskakunin_TOKUREI_TAKASA=1,"■","□")</f>
        <v>□</v>
      </c>
    </row>
    <row r="1107" spans="1:6" ht="15" customHeight="1">
      <c r="A1107" s="7"/>
      <c r="B1107" s="71" t="s">
        <v>2142</v>
      </c>
      <c r="D1107" s="18"/>
      <c r="E1107" s="15" t="s">
        <v>2143</v>
      </c>
      <c r="F1107" s="141" t="str">
        <f>IF(wskakunin_TOKUREI_TAKASA="","□",IF(wskakunin_TOKUREI_TAKASA=0,"■","□"))</f>
        <v>□</v>
      </c>
    </row>
    <row r="1108" spans="1:6" ht="15" customHeight="1">
      <c r="A1108" s="7"/>
      <c r="B1108" s="71"/>
      <c r="D1108" s="18"/>
      <c r="F1108" s="18"/>
    </row>
    <row r="1109" spans="1:6" ht="15" customHeight="1">
      <c r="A1109" s="48" t="s">
        <v>2144</v>
      </c>
      <c r="B1109" s="69"/>
      <c r="D1109" s="18"/>
      <c r="F1109" s="18"/>
    </row>
    <row r="1110" spans="1:6" ht="15" customHeight="1">
      <c r="A1110" s="7"/>
      <c r="B1110" s="71" t="s">
        <v>2145</v>
      </c>
      <c r="C1110" s="15" t="s">
        <v>2146</v>
      </c>
      <c r="D1110" s="141"/>
      <c r="E1110" s="15" t="s">
        <v>2147</v>
      </c>
      <c r="F1110" s="141" t="str">
        <f>IF(wskakunin_TOKUREI_TAKASA_DOURO=1,"■","□")</f>
        <v>□</v>
      </c>
    </row>
    <row r="1111" spans="1:6" ht="15" customHeight="1">
      <c r="A1111" s="7"/>
      <c r="B1111" s="71" t="s">
        <v>2148</v>
      </c>
      <c r="C1111" s="15" t="s">
        <v>2149</v>
      </c>
      <c r="D1111" s="141"/>
      <c r="E1111" s="15" t="s">
        <v>2150</v>
      </c>
      <c r="F1111" s="141" t="str">
        <f>IF(wskakunin_TOKUREI_TAKASA_RINTI=1,"■","□")</f>
        <v>□</v>
      </c>
    </row>
    <row r="1112" spans="1:6" ht="15" customHeight="1">
      <c r="A1112" s="7"/>
      <c r="B1112" s="71" t="s">
        <v>2151</v>
      </c>
      <c r="C1112" s="15" t="s">
        <v>2152</v>
      </c>
      <c r="D1112" s="141"/>
      <c r="E1112" s="15" t="s">
        <v>2153</v>
      </c>
      <c r="F1112" s="141" t="str">
        <f>IF(wskakunin_TOKUREI_TAKASA_KITA=1,"■","□")</f>
        <v>□</v>
      </c>
    </row>
    <row r="1113" spans="1:6" ht="15" customHeight="1">
      <c r="A1113" s="8"/>
      <c r="B1113" s="72"/>
      <c r="D1113" s="18"/>
      <c r="F1113" s="18"/>
    </row>
    <row r="1114" spans="1:6" ht="15" customHeight="1">
      <c r="A1114" s="87" t="s">
        <v>2154</v>
      </c>
      <c r="B1114" s="730"/>
      <c r="C1114" s="15" t="s">
        <v>2155</v>
      </c>
    </row>
    <row r="1115" spans="1:6" ht="15" customHeight="1">
      <c r="A1115" s="92" t="s">
        <v>1665</v>
      </c>
      <c r="B1115" s="135"/>
    </row>
    <row r="1116" spans="1:6" ht="15" customHeight="1">
      <c r="A1116" s="89"/>
      <c r="B1116" s="82" t="s">
        <v>2156</v>
      </c>
      <c r="C1116" s="15" t="s">
        <v>2157</v>
      </c>
      <c r="D1116" s="220"/>
      <c r="E1116" s="15" t="s">
        <v>2158</v>
      </c>
      <c r="F1116" s="141" t="str">
        <f>IF(wskakunin_kyoka01_HOUREI="","",wskakunin_kyoka01_HOUREI)</f>
        <v/>
      </c>
    </row>
    <row r="1117" spans="1:6" ht="15" customHeight="1">
      <c r="A1117" s="89"/>
      <c r="B1117" s="82" t="s">
        <v>2159</v>
      </c>
      <c r="C1117" s="15" t="s">
        <v>2160</v>
      </c>
      <c r="D1117" s="220"/>
      <c r="E1117" s="15" t="s">
        <v>2161</v>
      </c>
      <c r="F1117" s="141" t="str">
        <f>IF(wskakunin_kyoka01_JOUKOU="","",wskakunin_kyoka01_JOUKOU)</f>
        <v/>
      </c>
    </row>
    <row r="1118" spans="1:6" ht="15" customHeight="1">
      <c r="A1118" s="89"/>
      <c r="B1118" s="82" t="s">
        <v>2162</v>
      </c>
      <c r="C1118" s="15" t="s">
        <v>2163</v>
      </c>
      <c r="D1118" s="220"/>
      <c r="E1118" s="15" t="s">
        <v>2164</v>
      </c>
      <c r="F1118" s="141" t="str">
        <f>IF(wskakunin_kyoka01_KYOKA_NO="","",wskakunin_kyoka01_KYOKA_NO)</f>
        <v/>
      </c>
    </row>
    <row r="1119" spans="1:6" ht="15" customHeight="1">
      <c r="A1119" s="89"/>
      <c r="B1119" s="82" t="s">
        <v>2165</v>
      </c>
      <c r="C1119" s="15" t="s">
        <v>2166</v>
      </c>
      <c r="D1119" s="219"/>
      <c r="E1119" s="15" t="s">
        <v>2167</v>
      </c>
      <c r="F1119" s="141" t="str">
        <f>IF(wskakunin_kyoka01_KYOKA_DATE="","",wskakunin_kyoka01_KYOKA_DATE)</f>
        <v/>
      </c>
    </row>
    <row r="1120" spans="1:6" ht="15" customHeight="1">
      <c r="A1120" s="89"/>
      <c r="B1120" s="82" t="s">
        <v>2</v>
      </c>
      <c r="C1120" s="15" t="s">
        <v>2168</v>
      </c>
      <c r="D1120" s="220"/>
      <c r="E1120" s="15" t="s">
        <v>2169</v>
      </c>
      <c r="F1120" s="141" t="str">
        <f>IF(wskakunin_kyoka01_BIKOU="","",wskakunin_kyoka01_BIKOU)</f>
        <v/>
      </c>
    </row>
    <row r="1121" spans="1:6" ht="15" customHeight="1">
      <c r="A1121" s="89"/>
      <c r="B1121" s="136" t="s">
        <v>2170</v>
      </c>
      <c r="D1121" s="37"/>
      <c r="F1121" s="18"/>
    </row>
    <row r="1122" spans="1:6" ht="15" customHeight="1">
      <c r="A1122" s="89"/>
      <c r="B1122" s="136"/>
      <c r="D1122" s="18"/>
      <c r="F1122" s="18"/>
    </row>
    <row r="1123" spans="1:6" ht="15" customHeight="1">
      <c r="A1123" s="92" t="s">
        <v>1710</v>
      </c>
      <c r="B1123" s="135"/>
    </row>
    <row r="1124" spans="1:6" ht="15" customHeight="1">
      <c r="A1124" s="89"/>
      <c r="B1124" s="82" t="s">
        <v>2156</v>
      </c>
      <c r="C1124" s="15" t="s">
        <v>2171</v>
      </c>
      <c r="D1124" s="220"/>
      <c r="E1124" s="15" t="s">
        <v>2172</v>
      </c>
      <c r="F1124" s="141" t="str">
        <f>IF(wskakunin_kyoka02_HOUREI="","",wskakunin_kyoka02_HOUREI)</f>
        <v/>
      </c>
    </row>
    <row r="1125" spans="1:6" ht="15" customHeight="1">
      <c r="A1125" s="89"/>
      <c r="B1125" s="82" t="s">
        <v>2159</v>
      </c>
      <c r="C1125" s="15" t="s">
        <v>2173</v>
      </c>
      <c r="D1125" s="220"/>
      <c r="E1125" s="15" t="s">
        <v>2174</v>
      </c>
      <c r="F1125" s="141" t="str">
        <f>IF(wskakunin_kyoka02_JOUKOU="","",wskakunin_kyoka02_JOUKOU)</f>
        <v/>
      </c>
    </row>
    <row r="1126" spans="1:6" ht="15" customHeight="1">
      <c r="A1126" s="89"/>
      <c r="B1126" s="82" t="s">
        <v>2162</v>
      </c>
      <c r="C1126" s="15" t="s">
        <v>2175</v>
      </c>
      <c r="D1126" s="220"/>
      <c r="E1126" s="15" t="s">
        <v>2176</v>
      </c>
      <c r="F1126" s="141" t="str">
        <f>IF(wskakunin_kyoka02_KYOKA_NO="","",wskakunin_kyoka02_KYOKA_NO)</f>
        <v/>
      </c>
    </row>
    <row r="1127" spans="1:6" ht="15" customHeight="1">
      <c r="A1127" s="89"/>
      <c r="B1127" s="82" t="s">
        <v>2165</v>
      </c>
      <c r="C1127" s="15" t="s">
        <v>2177</v>
      </c>
      <c r="D1127" s="240"/>
      <c r="E1127" s="15" t="s">
        <v>2178</v>
      </c>
      <c r="F1127" s="240" t="str">
        <f>IF(wskakunin_kyoka02_KYOKA_DATE="","",wskakunin_kyoka02_KYOKA_DATE)</f>
        <v/>
      </c>
    </row>
    <row r="1128" spans="1:6" ht="15" customHeight="1">
      <c r="A1128" s="89"/>
      <c r="B1128" s="82" t="s">
        <v>2</v>
      </c>
      <c r="C1128" s="15" t="s">
        <v>2179</v>
      </c>
      <c r="D1128" s="220"/>
      <c r="E1128" s="15" t="s">
        <v>2180</v>
      </c>
      <c r="F1128" s="141" t="str">
        <f>IF(wskakunin_kyoka02_BIKOU="","",wskakunin_kyoka02_BIKOU)</f>
        <v/>
      </c>
    </row>
    <row r="1129" spans="1:6" ht="15" customHeight="1">
      <c r="A1129" s="89"/>
      <c r="B1129" s="136" t="s">
        <v>2181</v>
      </c>
      <c r="D1129" s="37"/>
      <c r="F1129" s="18"/>
    </row>
    <row r="1130" spans="1:6" ht="15" customHeight="1">
      <c r="A1130" s="137"/>
      <c r="B1130" s="136"/>
      <c r="D1130" s="18"/>
      <c r="F1130" s="18"/>
    </row>
    <row r="1131" spans="1:6" ht="15" customHeight="1">
      <c r="A1131" s="92" t="s">
        <v>1717</v>
      </c>
      <c r="B1131" s="135"/>
    </row>
    <row r="1132" spans="1:6" ht="15" customHeight="1">
      <c r="A1132" s="89"/>
      <c r="B1132" s="82" t="s">
        <v>2156</v>
      </c>
      <c r="C1132" s="15" t="s">
        <v>2182</v>
      </c>
      <c r="D1132" s="220"/>
      <c r="E1132" s="15" t="s">
        <v>2183</v>
      </c>
      <c r="F1132" s="141" t="str">
        <f>IF(wskakunin_kyoka03_HOUREI="","",wskakunin_kyoka03_HOUREI)</f>
        <v/>
      </c>
    </row>
    <row r="1133" spans="1:6" ht="15" customHeight="1">
      <c r="A1133" s="89"/>
      <c r="B1133" s="82" t="s">
        <v>2159</v>
      </c>
      <c r="C1133" s="15" t="s">
        <v>2184</v>
      </c>
      <c r="D1133" s="220"/>
      <c r="E1133" s="15" t="s">
        <v>2185</v>
      </c>
      <c r="F1133" s="141" t="str">
        <f>IF(wskakunin_kyoka03_JOUKOU="","",wskakunin_kyoka03_JOUKOU)</f>
        <v/>
      </c>
    </row>
    <row r="1134" spans="1:6" ht="15" customHeight="1">
      <c r="A1134" s="89"/>
      <c r="B1134" s="82" t="s">
        <v>2162</v>
      </c>
      <c r="C1134" s="15" t="s">
        <v>2186</v>
      </c>
      <c r="D1134" s="220"/>
      <c r="E1134" s="15" t="s">
        <v>2187</v>
      </c>
      <c r="F1134" s="141" t="str">
        <f>IF(wskakunin_kyoka03_KYOKA_NO="","",wskakunin_kyoka03_KYOKA_NO)</f>
        <v/>
      </c>
    </row>
    <row r="1135" spans="1:6" ht="15" customHeight="1">
      <c r="A1135" s="89"/>
      <c r="B1135" s="82" t="s">
        <v>2165</v>
      </c>
      <c r="C1135" s="15" t="s">
        <v>2188</v>
      </c>
      <c r="D1135" s="240"/>
      <c r="E1135" s="15" t="s">
        <v>2189</v>
      </c>
      <c r="F1135" s="240" t="str">
        <f>IF(wskakunin_kyoka03_KYOKA_DATE="","",wskakunin_kyoka03_KYOKA_DATE)</f>
        <v/>
      </c>
    </row>
    <row r="1136" spans="1:6" ht="15" customHeight="1">
      <c r="A1136" s="89"/>
      <c r="B1136" s="82" t="s">
        <v>2</v>
      </c>
      <c r="C1136" s="15" t="s">
        <v>2190</v>
      </c>
      <c r="D1136" s="220"/>
      <c r="E1136" s="15" t="s">
        <v>2191</v>
      </c>
      <c r="F1136" s="141" t="str">
        <f>IF(wskakunin_kyoka03_BIKOU="","",wskakunin_kyoka03_BIKOU)</f>
        <v/>
      </c>
    </row>
    <row r="1137" spans="1:8" ht="15" customHeight="1">
      <c r="A1137" s="89"/>
      <c r="B1137" s="136" t="s">
        <v>2192</v>
      </c>
      <c r="D1137" s="37"/>
      <c r="F1137" s="18"/>
    </row>
    <row r="1138" spans="1:8" ht="15" customHeight="1">
      <c r="A1138" s="137"/>
      <c r="B1138" s="82"/>
      <c r="D1138" s="18"/>
      <c r="F1138" s="18"/>
    </row>
    <row r="1139" spans="1:8" ht="15" customHeight="1">
      <c r="A1139" s="89" t="s">
        <v>2193</v>
      </c>
      <c r="B1139" s="134"/>
      <c r="D1139" s="18"/>
      <c r="E1139" s="15" t="s">
        <v>2194</v>
      </c>
      <c r="F1139" s="141" t="str">
        <f>cst_wskakunin_kyoka01_HOUREI&amp;IF(cst_wskakunin_kyoka02_HOUREI&lt;&gt;"",CHAR(10)&amp;cst_wskakunin_kyoka02_HOUREI,cst_wskakunin_kyoka02_HOUREI)&amp;IF(cst_wskakunin_kyoka03_HOUREI&lt;&gt;"",CHAR(10)&amp;cst_wskakunin_kyoka03_HOUREI,cst_wskakunin_kyoka03_HOUREI)</f>
        <v/>
      </c>
      <c r="G1139" s="15" t="s">
        <v>2195</v>
      </c>
    </row>
    <row r="1140" spans="1:8" ht="15" customHeight="1">
      <c r="A1140" s="91"/>
      <c r="B1140" s="96"/>
      <c r="D1140" s="18"/>
      <c r="F1140" s="18"/>
    </row>
    <row r="1141" spans="1:8" ht="15" customHeight="1">
      <c r="A1141" s="87" t="s">
        <v>2196</v>
      </c>
      <c r="B1141" s="730"/>
      <c r="C1141" s="15" t="s">
        <v>2197</v>
      </c>
      <c r="D1141" s="240"/>
      <c r="E1141" s="15" t="s">
        <v>2198</v>
      </c>
      <c r="F1141" s="240" t="str">
        <f>IF(wskakunin_KOUJI_TYAKUSYU_YOTEI_DATE="", "", wskakunin_KOUJI_TYAKUSYU_YOTEI_DATE)</f>
        <v/>
      </c>
    </row>
    <row r="1142" spans="1:8" ht="15" customHeight="1">
      <c r="A1142" s="91"/>
      <c r="B1142" s="96"/>
      <c r="D1142" s="18"/>
      <c r="F1142" s="18"/>
    </row>
    <row r="1143" spans="1:8" ht="15" customHeight="1">
      <c r="A1143" s="87" t="s">
        <v>2199</v>
      </c>
      <c r="B1143" s="730"/>
      <c r="C1143" s="15" t="s">
        <v>2200</v>
      </c>
      <c r="D1143" s="240"/>
      <c r="E1143" s="15" t="s">
        <v>2201</v>
      </c>
      <c r="F1143" s="240" t="str">
        <f>IF(wskakunin_KOUJI_KANRYOU_YOTEI_DATE="", "", wskakunin_KOUJI_KANRYOU_YOTEI_DATE)</f>
        <v/>
      </c>
    </row>
    <row r="1144" spans="1:8" ht="15" customHeight="1">
      <c r="A1144" s="91"/>
      <c r="B1144" s="96"/>
      <c r="D1144" s="18"/>
      <c r="F1144" s="18"/>
    </row>
    <row r="1145" spans="1:8" ht="15" customHeight="1">
      <c r="A1145" s="50"/>
      <c r="B1145" s="726" t="s">
        <v>2202</v>
      </c>
      <c r="E1145" s="15" t="s">
        <v>2203</v>
      </c>
      <c r="F1145" s="47" t="str">
        <f>IF(OR(wskakunin_KOUJI_TYAKUSYU_YOTEI_DATE="",wskakunin_KOUJI_KANRYOU_YOTEI_DATE=""),"",IF(DATEDIF(wskakunin_KOUJI_TYAKUSYU_YOTEI_DATE,wskakunin_KOUJI_KANRYOU_YOTEI_DATE,"D")&lt;=44,0,DATEDIF(wskakunin_KOUJI_TYAKUSYU_YOTEI_DATE,wskakunin_KOUJI_KANRYOU_YOTEI_DATE+16,"Y")))</f>
        <v/>
      </c>
      <c r="G1145" s="18"/>
      <c r="H1145" s="18"/>
    </row>
    <row r="1146" spans="1:8" ht="15" customHeight="1">
      <c r="A1146" s="51"/>
      <c r="B1146" s="66" t="s">
        <v>2204</v>
      </c>
      <c r="E1146" s="15" t="s">
        <v>2205</v>
      </c>
      <c r="F1146" s="47" t="str">
        <f>IF(OR(wskakunin_KOUJI_TYAKUSYU_YOTEI_DATE="",wskakunin_KOUJI_KANRYOU_YOTEI_DATE=""),"",IF(DATEDIF(wskakunin_KOUJI_TYAKUSYU_YOTEI_DATE,wskakunin_KOUJI_KANRYOU_YOTEI_DATE,"D")&lt;=44,1,DATEDIF(wskakunin_KOUJI_TYAKUSYU_YOTEI_DATE,wskakunin_KOUJI_KANRYOU_YOTEI_DATE+16,"YM")))</f>
        <v/>
      </c>
      <c r="G1146" s="18"/>
      <c r="H1146" s="18"/>
    </row>
    <row r="1147" spans="1:8" ht="15" customHeight="1">
      <c r="A1147" s="52"/>
      <c r="B1147" s="63"/>
      <c r="G1147" s="18"/>
      <c r="H1147" s="18"/>
    </row>
    <row r="1148" spans="1:8" ht="15" customHeight="1">
      <c r="G1148" s="18"/>
      <c r="H1148" s="18"/>
    </row>
    <row r="1149" spans="1:8" ht="15" customHeight="1">
      <c r="A1149" s="88" t="s">
        <v>2206</v>
      </c>
      <c r="B1149" s="107"/>
    </row>
    <row r="1150" spans="1:8" ht="15" customHeight="1">
      <c r="A1150" s="92" t="s">
        <v>1665</v>
      </c>
      <c r="B1150" s="108"/>
    </row>
    <row r="1151" spans="1:8" ht="15" customHeight="1">
      <c r="A1151" s="90"/>
      <c r="B1151" s="82" t="s">
        <v>2207</v>
      </c>
      <c r="C1151" s="15" t="s">
        <v>2208</v>
      </c>
      <c r="D1151" s="141"/>
      <c r="E1151" s="15" t="s">
        <v>2209</v>
      </c>
      <c r="F1151" s="141" t="str">
        <f>IF(wskakunin_koutei01_KOUTEI_KAISUU="","",wskakunin_koutei01_KOUTEI_KAISUU)</f>
        <v/>
      </c>
    </row>
    <row r="1152" spans="1:8" ht="15" customHeight="1">
      <c r="A1152" s="90"/>
      <c r="B1152" s="82" t="s">
        <v>2210</v>
      </c>
      <c r="C1152" s="15" t="s">
        <v>2211</v>
      </c>
      <c r="D1152" s="240"/>
      <c r="E1152" s="15" t="s">
        <v>2212</v>
      </c>
      <c r="F1152" s="240" t="str">
        <f>IF(wskakunin_koutei01_KOUTEI_DATE="","",wskakunin_koutei01_KOUTEI_DATE)</f>
        <v/>
      </c>
    </row>
    <row r="1153" spans="1:6" ht="15" customHeight="1">
      <c r="A1153" s="90"/>
      <c r="B1153" s="82" t="s">
        <v>2213</v>
      </c>
      <c r="C1153" s="15" t="s">
        <v>2214</v>
      </c>
      <c r="D1153" s="141"/>
      <c r="E1153" s="15" t="s">
        <v>2215</v>
      </c>
      <c r="F1153" s="141" t="str">
        <f>IF(wskakunin_koutei01_KOUTEI_TEXT="","",wskakunin_koutei01_KOUTEI_TEXT)</f>
        <v/>
      </c>
    </row>
    <row r="1154" spans="1:6" ht="15" customHeight="1">
      <c r="A1154" s="93"/>
      <c r="B1154" s="82"/>
      <c r="D1154" s="18"/>
      <c r="F1154" s="18"/>
    </row>
    <row r="1155" spans="1:6" ht="15" customHeight="1">
      <c r="A1155" s="92" t="s">
        <v>1710</v>
      </c>
      <c r="B1155" s="108"/>
    </row>
    <row r="1156" spans="1:6" ht="15" customHeight="1">
      <c r="A1156" s="90"/>
      <c r="B1156" s="82" t="s">
        <v>2207</v>
      </c>
      <c r="C1156" s="15" t="s">
        <v>2216</v>
      </c>
      <c r="D1156" s="141"/>
      <c r="E1156" s="15" t="s">
        <v>2217</v>
      </c>
      <c r="F1156" s="141" t="str">
        <f>IF(wskakunin_koutei02_KOUTEI_KAISUU="","",wskakunin_koutei02_KOUTEI_KAISUU)</f>
        <v/>
      </c>
    </row>
    <row r="1157" spans="1:6" ht="15" customHeight="1">
      <c r="A1157" s="90"/>
      <c r="B1157" s="82" t="s">
        <v>2210</v>
      </c>
      <c r="C1157" s="15" t="s">
        <v>2218</v>
      </c>
      <c r="D1157" s="240"/>
      <c r="E1157" s="15" t="s">
        <v>2219</v>
      </c>
      <c r="F1157" s="240" t="str">
        <f>IF(wskakunin_koutei02_KOUTEI_DATE="","",wskakunin_koutei02_KOUTEI_DATE)</f>
        <v/>
      </c>
    </row>
    <row r="1158" spans="1:6" ht="15" customHeight="1">
      <c r="A1158" s="90"/>
      <c r="B1158" s="82" t="s">
        <v>2213</v>
      </c>
      <c r="C1158" s="15" t="s">
        <v>2220</v>
      </c>
      <c r="D1158" s="141"/>
      <c r="E1158" s="15" t="s">
        <v>2221</v>
      </c>
      <c r="F1158" s="141" t="str">
        <f>IF(wskakunin_koutei02_KOUTEI_TEXT="","",wskakunin_koutei02_KOUTEI_TEXT)</f>
        <v/>
      </c>
    </row>
    <row r="1159" spans="1:6" ht="15" customHeight="1">
      <c r="A1159" s="94"/>
      <c r="B1159" s="82"/>
      <c r="D1159" s="18"/>
      <c r="F1159" s="18"/>
    </row>
    <row r="1160" spans="1:6" ht="15" customHeight="1">
      <c r="A1160" s="89" t="s">
        <v>1717</v>
      </c>
      <c r="B1160" s="47"/>
    </row>
    <row r="1161" spans="1:6" ht="15" customHeight="1">
      <c r="A1161" s="90"/>
      <c r="B1161" s="82" t="s">
        <v>2207</v>
      </c>
      <c r="C1161" s="15" t="s">
        <v>2222</v>
      </c>
      <c r="D1161" s="141"/>
      <c r="E1161" s="15" t="s">
        <v>2223</v>
      </c>
      <c r="F1161" s="141" t="str">
        <f>IF(wskakunin_koutei03_KOUTEI_KAISUU="","",wskakunin_koutei03_KOUTEI_KAISUU)</f>
        <v/>
      </c>
    </row>
    <row r="1162" spans="1:6" ht="15" customHeight="1">
      <c r="A1162" s="90"/>
      <c r="B1162" s="82" t="s">
        <v>2210</v>
      </c>
      <c r="C1162" s="15" t="s">
        <v>2224</v>
      </c>
      <c r="D1162" s="240"/>
      <c r="E1162" s="15" t="s">
        <v>2225</v>
      </c>
      <c r="F1162" s="240" t="str">
        <f>IF(wskakunin_koutei03_KOUTEI_DATE="","",wskakunin_koutei03_KOUTEI_DATE)</f>
        <v/>
      </c>
    </row>
    <row r="1163" spans="1:6" ht="15" customHeight="1">
      <c r="A1163" s="90"/>
      <c r="B1163" s="82" t="s">
        <v>2213</v>
      </c>
      <c r="C1163" s="15" t="s">
        <v>2226</v>
      </c>
      <c r="D1163" s="141"/>
      <c r="E1163" s="15" t="s">
        <v>2227</v>
      </c>
      <c r="F1163" s="141" t="str">
        <f>IF(wskakunin_koutei03_KOUTEI_TEXT="","",wskakunin_koutei03_KOUTEI_TEXT)</f>
        <v/>
      </c>
    </row>
    <row r="1164" spans="1:6" ht="15" customHeight="1">
      <c r="A1164" s="94"/>
      <c r="B1164" s="82"/>
      <c r="D1164" s="18"/>
      <c r="F1164" s="18"/>
    </row>
    <row r="1165" spans="1:6" ht="15" customHeight="1">
      <c r="A1165" s="89" t="s">
        <v>2228</v>
      </c>
      <c r="B1165" s="47"/>
    </row>
    <row r="1166" spans="1:6" ht="15" customHeight="1">
      <c r="A1166" s="90"/>
      <c r="B1166" s="82" t="s">
        <v>2207</v>
      </c>
      <c r="C1166" s="15" t="s">
        <v>2229</v>
      </c>
      <c r="D1166" s="141"/>
      <c r="E1166" s="15" t="s">
        <v>2230</v>
      </c>
      <c r="F1166" s="141" t="str">
        <f>IF(wskakunin_koutei04_KOUTEI_KAISUU="","",wskakunin_koutei04_KOUTEI_KAISUU)</f>
        <v/>
      </c>
    </row>
    <row r="1167" spans="1:6" ht="15" customHeight="1">
      <c r="A1167" s="90"/>
      <c r="B1167" s="82" t="s">
        <v>2210</v>
      </c>
      <c r="C1167" s="15" t="s">
        <v>2231</v>
      </c>
      <c r="D1167" s="240"/>
      <c r="E1167" s="15" t="s">
        <v>2232</v>
      </c>
      <c r="F1167" s="240" t="str">
        <f>IF(wskakunin_koutei04_KOUTEI_DATE="","",wskakunin_koutei04_KOUTEI_DATE)</f>
        <v/>
      </c>
    </row>
    <row r="1168" spans="1:6" ht="15" customHeight="1">
      <c r="A1168" s="90"/>
      <c r="B1168" s="82" t="s">
        <v>2213</v>
      </c>
      <c r="C1168" s="15" t="s">
        <v>2233</v>
      </c>
      <c r="D1168" s="141"/>
      <c r="E1168" s="15" t="s">
        <v>2234</v>
      </c>
      <c r="F1168" s="141" t="str">
        <f>IF(wskakunin_koutei04_KOUTEI_TEXT="","",wskakunin_koutei04_KOUTEI_TEXT)</f>
        <v/>
      </c>
    </row>
    <row r="1169" spans="1:6" ht="15" customHeight="1">
      <c r="A1169" s="95"/>
      <c r="B1169" s="245"/>
      <c r="D1169" s="18"/>
      <c r="F1169" s="18"/>
    </row>
    <row r="1170" spans="1:6" ht="15" customHeight="1">
      <c r="A1170" s="90" t="s">
        <v>2235</v>
      </c>
      <c r="B1170" s="246"/>
      <c r="C1170" s="15" t="s">
        <v>2236</v>
      </c>
      <c r="D1170" s="18"/>
      <c r="E1170" s="15" t="s">
        <v>2237</v>
      </c>
      <c r="F1170" s="18" t="str">
        <f>IF(wskakunin_KITEI_CHOUSA_FLAG="","",wskakunin_KITEI_CHOUSA_FLAG)</f>
        <v/>
      </c>
    </row>
    <row r="1171" spans="1:6" ht="15" customHeight="1">
      <c r="A1171" s="90"/>
      <c r="B1171" s="82" t="s">
        <v>2140</v>
      </c>
      <c r="D1171" s="18"/>
      <c r="E1171" s="15" t="s">
        <v>2238</v>
      </c>
      <c r="F1171" s="18" t="str">
        <f>IF(wskakunin_KITEI_CHOUSA_FLAG=1,"■","□")</f>
        <v>□</v>
      </c>
    </row>
    <row r="1172" spans="1:6" ht="15" customHeight="1">
      <c r="A1172" s="95"/>
      <c r="B1172" s="82" t="s">
        <v>2142</v>
      </c>
      <c r="D1172" s="18"/>
      <c r="E1172" s="15" t="s">
        <v>2239</v>
      </c>
      <c r="F1172" s="18" t="str">
        <f>IF(wskakunin_KITEI_CHOUSA_FLAG="","□",IF(wskakunin_KITEI_CHOUSA_FLAG=0,"■","□"))</f>
        <v>□</v>
      </c>
    </row>
    <row r="1173" spans="1:6" ht="15" customHeight="1">
      <c r="A1173" s="90" t="s">
        <v>2240</v>
      </c>
      <c r="B1173" s="246"/>
      <c r="C1173" s="15" t="s">
        <v>2241</v>
      </c>
      <c r="D1173" s="141"/>
      <c r="E1173" s="15" t="s">
        <v>2242</v>
      </c>
      <c r="F1173" s="141" t="str">
        <f>IF(wskakunin_BOUKA_SETUBI_FLAG="","",wskakunin_BOUKA_SETUBI_FLAG)</f>
        <v/>
      </c>
    </row>
    <row r="1174" spans="1:6" ht="15" customHeight="1">
      <c r="A1174" s="90"/>
      <c r="B1174" s="82" t="s">
        <v>2140</v>
      </c>
      <c r="D1174" s="18"/>
      <c r="E1174" s="15" t="s">
        <v>2243</v>
      </c>
      <c r="F1174" s="141" t="str">
        <f>IF(wskakunin_BOUKA_SETUBI_FLAG=1,"■","□")</f>
        <v>□</v>
      </c>
    </row>
    <row r="1175" spans="1:6" ht="15" customHeight="1">
      <c r="A1175" s="90"/>
      <c r="B1175" s="82" t="s">
        <v>2142</v>
      </c>
      <c r="D1175" s="18"/>
      <c r="E1175" s="15" t="s">
        <v>2244</v>
      </c>
      <c r="F1175" s="141" t="str">
        <f>IF(wskakunin_BOUKA_SETUBI_FLAG="","□",IF(wskakunin_BOUKA_SETUBI_FLAG=0,"■","□"))</f>
        <v>□</v>
      </c>
    </row>
    <row r="1176" spans="1:6" ht="15" customHeight="1">
      <c r="A1176" s="90"/>
      <c r="B1176" s="134"/>
      <c r="D1176" s="18"/>
      <c r="F1176" s="18"/>
    </row>
    <row r="1177" spans="1:6" ht="15" customHeight="1">
      <c r="A1177" s="30" t="s">
        <v>2245</v>
      </c>
      <c r="B1177" s="730"/>
      <c r="C1177" s="15" t="s">
        <v>2246</v>
      </c>
      <c r="D1177" s="141"/>
      <c r="E1177" s="15" t="s">
        <v>2247</v>
      </c>
      <c r="F1177" s="141" t="str">
        <f>IF(wskakunin_P3_SONOTA="","",wskakunin_P3_SONOTA)</f>
        <v/>
      </c>
    </row>
    <row r="1178" spans="1:6" ht="15" customHeight="1">
      <c r="A1178" s="31"/>
      <c r="B1178" s="96"/>
      <c r="D1178" s="18"/>
      <c r="F1178" s="18"/>
    </row>
    <row r="1179" spans="1:6" ht="15" customHeight="1">
      <c r="A1179" s="97" t="s">
        <v>2248</v>
      </c>
      <c r="B1179" s="729"/>
      <c r="C1179" s="15" t="s">
        <v>2249</v>
      </c>
      <c r="D1179" s="141"/>
      <c r="E1179" s="15" t="s">
        <v>2250</v>
      </c>
      <c r="F1179" s="141" t="str">
        <f>IF(wskakunin_P3_BIKOU="","",wskakunin_P3_BIKOU)</f>
        <v/>
      </c>
    </row>
    <row r="1180" spans="1:6" ht="15" customHeight="1">
      <c r="A1180" s="52"/>
      <c r="B1180" s="63"/>
    </row>
    <row r="1183" spans="1:6" ht="15" customHeight="1">
      <c r="A1183" s="164" t="s">
        <v>2251</v>
      </c>
      <c r="B1183" s="104" t="s">
        <v>1724</v>
      </c>
    </row>
    <row r="1184" spans="1:6" ht="15" customHeight="1">
      <c r="A1184" s="88" t="s">
        <v>2252</v>
      </c>
      <c r="B1184" s="107"/>
    </row>
    <row r="1185" spans="1:7" ht="15" customHeight="1">
      <c r="A1185" s="165" t="s">
        <v>2253</v>
      </c>
      <c r="B1185" s="108"/>
    </row>
    <row r="1186" spans="1:7" ht="15" customHeight="1">
      <c r="A1186" s="51"/>
      <c r="B1186" s="74" t="s">
        <v>2254</v>
      </c>
      <c r="E1186" s="37" t="s">
        <v>2255</v>
      </c>
      <c r="F1186" s="47" t="str">
        <f>IF(wskakunin_TOKUREI_1="1","第１号",IF(wskakunin_TOKUREI_2="1","第２号",IF(wskakunin_TOKUREI_3="1","第３号",IF(wskakunin_TOKUREI_4="1","第４号",""))))</f>
        <v/>
      </c>
    </row>
    <row r="1187" spans="1:7" ht="15" customHeight="1">
      <c r="A1187" s="51"/>
      <c r="B1187" s="73" t="s">
        <v>2256</v>
      </c>
      <c r="C1187" s="37" t="s">
        <v>2257</v>
      </c>
      <c r="D1187" s="221"/>
    </row>
    <row r="1188" spans="1:7" ht="15" customHeight="1">
      <c r="A1188" s="51"/>
      <c r="B1188" s="73" t="s">
        <v>2258</v>
      </c>
      <c r="C1188" s="37" t="s">
        <v>2259</v>
      </c>
      <c r="D1188" s="221"/>
    </row>
    <row r="1189" spans="1:7" ht="15" customHeight="1">
      <c r="A1189" s="51"/>
      <c r="B1189" s="73" t="s">
        <v>2260</v>
      </c>
      <c r="C1189" s="37" t="s">
        <v>2261</v>
      </c>
      <c r="D1189" s="221"/>
    </row>
    <row r="1190" spans="1:7" ht="15" customHeight="1">
      <c r="A1190" s="51"/>
      <c r="B1190" s="73" t="s">
        <v>2262</v>
      </c>
      <c r="C1190" s="37" t="s">
        <v>2263</v>
      </c>
      <c r="D1190" s="221"/>
    </row>
    <row r="1191" spans="1:7" ht="15" customHeight="1">
      <c r="A1191" s="166"/>
      <c r="B1191" s="74"/>
    </row>
    <row r="1192" spans="1:7" ht="15" customHeight="1">
      <c r="A1192" s="50" t="s">
        <v>2264</v>
      </c>
      <c r="B1192" s="726"/>
      <c r="C1192" s="15" t="s">
        <v>2265</v>
      </c>
      <c r="D1192" s="221"/>
      <c r="E1192" s="15" t="s">
        <v>2266</v>
      </c>
      <c r="F1192" s="47" t="str">
        <f>IF(wskakunin_KENTIKU_NINSYO_NO="","",wskakunin_KENTIKU_NINSYO_NO)</f>
        <v/>
      </c>
    </row>
    <row r="1193" spans="1:7" ht="15" customHeight="1">
      <c r="A1193" s="52"/>
      <c r="B1193" s="63"/>
    </row>
    <row r="1194" spans="1:7" ht="15" customHeight="1">
      <c r="A1194" s="167" t="s">
        <v>2267</v>
      </c>
      <c r="B1194" s="726"/>
      <c r="C1194" s="15" t="s">
        <v>2268</v>
      </c>
      <c r="D1194" s="243"/>
      <c r="E1194" s="15" t="s">
        <v>2269</v>
      </c>
      <c r="F1194" s="243" t="str">
        <f ca="1">IF(chk_JOB_KIND_kakunin=1,"",IF(wskakunin_KOUJI_TYAKUSYU_DATE="","",wskakunin_KOUJI_TYAKUSYU_DATE))</f>
        <v/>
      </c>
      <c r="G1194" s="15" t="s">
        <v>2270</v>
      </c>
    </row>
    <row r="1195" spans="1:7" ht="15" customHeight="1">
      <c r="A1195" s="168"/>
      <c r="B1195" s="63"/>
      <c r="D1195" s="103"/>
    </row>
    <row r="1196" spans="1:7" ht="15" customHeight="1">
      <c r="A1196" s="167" t="s">
        <v>2271</v>
      </c>
      <c r="B1196" s="726"/>
      <c r="D1196" s="103"/>
    </row>
    <row r="1197" spans="1:7" ht="15" customHeight="1">
      <c r="A1197" s="40"/>
      <c r="B1197" s="74" t="s">
        <v>2272</v>
      </c>
      <c r="D1197" s="103"/>
      <c r="E1197" s="15" t="s">
        <v>2273</v>
      </c>
      <c r="F1197" s="243" t="str">
        <f ca="1">IF(chk_JOB_KIND_kakunin=1,"",IF(wskakunin_KOUJI_KANRYOU_YOTEI_DATE="","",wskakunin_KOUJI_KANRYOU_YOTEI_DATE))</f>
        <v/>
      </c>
    </row>
    <row r="1198" spans="1:7" ht="15" customHeight="1">
      <c r="A1198" s="167" t="s">
        <v>2274</v>
      </c>
      <c r="B1198" s="726"/>
    </row>
    <row r="1199" spans="1:7" ht="15" customHeight="1">
      <c r="A1199" s="51"/>
      <c r="B1199" s="73" t="s">
        <v>2275</v>
      </c>
      <c r="C1199" s="15" t="s">
        <v>2276</v>
      </c>
      <c r="D1199" s="221"/>
      <c r="E1199" s="15" t="s">
        <v>2277</v>
      </c>
      <c r="F1199" s="47" t="str">
        <f>IF(wskakunin_TOKUTEI_KOUTEI="","",wskakunin_TOKUTEI_KOUTEI)</f>
        <v/>
      </c>
      <c r="G1199" s="15" t="s">
        <v>2278</v>
      </c>
    </row>
    <row r="1200" spans="1:7" ht="15" customHeight="1">
      <c r="A1200" s="51"/>
      <c r="B1200" s="74" t="s">
        <v>2279</v>
      </c>
      <c r="E1200" s="15" t="s">
        <v>2280</v>
      </c>
      <c r="F1200" s="47" t="str">
        <f ca="1">IF(chk_JOB_KIND_kakunin=1,IF(wskakunin_koutei01_KOUTEI_TEXT="","",wskakunin_koutei01_KOUTEI_TEXT),cst_wskakunin_TOKUTEI_KOUTEI)</f>
        <v/>
      </c>
    </row>
    <row r="1201" spans="1:7" ht="15" customHeight="1">
      <c r="A1201" s="51"/>
      <c r="B1201" s="74" t="s">
        <v>2281</v>
      </c>
      <c r="E1201" s="15" t="s">
        <v>2282</v>
      </c>
      <c r="F1201" s="47" t="str">
        <f ca="1">IF(chk_JOB_KIND_kakunin=1,IF(wskakunin_koutei02_KOUTEI_TEXT="","",wskakunin_koutei02_KOUTEI_TEXT),cst_wskakunin_TOKUTEI_KOUTEI)</f>
        <v/>
      </c>
    </row>
    <row r="1202" spans="1:7" ht="15" customHeight="1">
      <c r="A1202" s="51"/>
      <c r="B1202" s="73" t="s">
        <v>2283</v>
      </c>
      <c r="C1202" s="15" t="s">
        <v>2284</v>
      </c>
      <c r="D1202" s="243"/>
      <c r="E1202" s="15" t="s">
        <v>2285</v>
      </c>
      <c r="F1202" s="243" t="str">
        <f ca="1">IF(chk_JOB_KIND_kakunin=1,"",IF(wskakunin_TOKUTEI_KOUJI_KANRYOU_DATE="","",wskakunin_TOKUTEI_KOUJI_KANRYOU_DATE))</f>
        <v/>
      </c>
      <c r="G1202" s="15" t="s">
        <v>2270</v>
      </c>
    </row>
    <row r="1203" spans="1:7" ht="15" customHeight="1">
      <c r="A1203" s="51"/>
      <c r="B1203" s="73"/>
      <c r="D1203" s="103"/>
    </row>
    <row r="1204" spans="1:7" ht="15" customHeight="1">
      <c r="A1204" s="51"/>
      <c r="B1204" s="73" t="s">
        <v>2286</v>
      </c>
      <c r="C1204" s="15" t="s">
        <v>2287</v>
      </c>
      <c r="D1204" s="242"/>
      <c r="E1204" s="15" t="s">
        <v>2288</v>
      </c>
      <c r="F1204" s="47" t="str">
        <f ca="1">IF(chk_JOB_KIND_kakunin=1,"",IF(wskakunin_KENSA_YUKA_MENSEKI="","",wskakunin_KENSA_YUKA_MENSEKI))</f>
        <v/>
      </c>
      <c r="G1204" s="15" t="s">
        <v>2270</v>
      </c>
    </row>
    <row r="1205" spans="1:7" ht="15" customHeight="1">
      <c r="A1205" s="52"/>
      <c r="B1205" s="75"/>
    </row>
    <row r="1206" spans="1:7" ht="15" customHeight="1">
      <c r="A1206" s="167" t="s">
        <v>2289</v>
      </c>
      <c r="B1206" s="726"/>
    </row>
    <row r="1207" spans="1:7" ht="15" customHeight="1">
      <c r="A1207" s="179" t="s">
        <v>1665</v>
      </c>
      <c r="B1207" s="108"/>
    </row>
    <row r="1208" spans="1:7" ht="15" customHeight="1">
      <c r="A1208" s="180"/>
      <c r="B1208" s="74" t="s">
        <v>2207</v>
      </c>
      <c r="C1208" s="15" t="s">
        <v>2290</v>
      </c>
      <c r="D1208" s="221"/>
      <c r="E1208" s="15" t="s">
        <v>2291</v>
      </c>
      <c r="F1208" s="47" t="str">
        <f>IF(wskakunin_koutei_izen01_KOUTEI_KAISUU="","",wskakunin_koutei_izen01_KOUTEI_KAISUU)</f>
        <v/>
      </c>
    </row>
    <row r="1209" spans="1:7" ht="15" customHeight="1">
      <c r="A1209" s="180"/>
      <c r="B1209" s="73" t="s">
        <v>2275</v>
      </c>
      <c r="C1209" s="15" t="s">
        <v>2292</v>
      </c>
      <c r="D1209" s="221"/>
      <c r="E1209" s="15" t="s">
        <v>2293</v>
      </c>
      <c r="F1209" s="47" t="str">
        <f>IF(wskakunin_koutei_izen01_KOUTEI_TEXT="","",wskakunin_koutei_izen01_KOUTEI_TEXT)</f>
        <v/>
      </c>
    </row>
    <row r="1210" spans="1:7" ht="15" customHeight="1">
      <c r="A1210" s="180"/>
      <c r="B1210" s="112" t="s">
        <v>2294</v>
      </c>
      <c r="C1210" s="15" t="s">
        <v>2295</v>
      </c>
      <c r="D1210" s="221"/>
      <c r="E1210" s="15" t="s">
        <v>2296</v>
      </c>
      <c r="F1210" s="47" t="str">
        <f>IF(wskakunin_koutei_izen01_INTER_ISSUE_NAME="","",wskakunin_koutei_izen01_INTER_ISSUE_NAME)</f>
        <v/>
      </c>
    </row>
    <row r="1211" spans="1:7" ht="15" customHeight="1">
      <c r="A1211" s="180"/>
      <c r="B1211" s="112" t="s">
        <v>2297</v>
      </c>
      <c r="C1211" s="15" t="s">
        <v>2298</v>
      </c>
      <c r="D1211" s="221"/>
      <c r="E1211" s="15" t="s">
        <v>2299</v>
      </c>
      <c r="F1211" s="47" t="str">
        <f>IF(wskakunin_koutei_izen01_INTER_ISSUE_NO="","",wskakunin_koutei_izen01_INTER_ISSUE_NO)</f>
        <v/>
      </c>
    </row>
    <row r="1212" spans="1:7" ht="15" customHeight="1">
      <c r="A1212" s="180"/>
      <c r="B1212" s="112" t="s">
        <v>2300</v>
      </c>
      <c r="C1212" s="15" t="s">
        <v>2301</v>
      </c>
      <c r="D1212" s="243"/>
      <c r="E1212" s="15" t="s">
        <v>2302</v>
      </c>
      <c r="F1212" s="243" t="str">
        <f>IF(wskakunin_koutei_izen01_INTER_ISSUE_DATE="","",wskakunin_koutei_izen01_INTER_ISSUE_DATE)</f>
        <v/>
      </c>
    </row>
    <row r="1213" spans="1:7" ht="15" customHeight="1">
      <c r="A1213" s="181"/>
      <c r="B1213" s="74"/>
    </row>
    <row r="1214" spans="1:7" ht="15" customHeight="1">
      <c r="A1214" s="180" t="s">
        <v>1710</v>
      </c>
      <c r="B1214" s="66"/>
    </row>
    <row r="1215" spans="1:7" ht="15" customHeight="1">
      <c r="A1215" s="180"/>
      <c r="B1215" s="74" t="s">
        <v>2207</v>
      </c>
      <c r="C1215" s="15" t="s">
        <v>2303</v>
      </c>
      <c r="D1215" s="221"/>
      <c r="E1215" s="15" t="s">
        <v>2304</v>
      </c>
      <c r="F1215" s="47" t="str">
        <f>IF(wskakunin_koutei_izen02_KOUTEI_KAISUU="","",wskakunin_koutei_izen02_KOUTEI_KAISUU)</f>
        <v/>
      </c>
    </row>
    <row r="1216" spans="1:7" ht="15" customHeight="1">
      <c r="A1216" s="180"/>
      <c r="B1216" s="73" t="s">
        <v>2275</v>
      </c>
      <c r="C1216" s="15" t="s">
        <v>2305</v>
      </c>
      <c r="D1216" s="221"/>
      <c r="E1216" s="15" t="s">
        <v>2306</v>
      </c>
      <c r="F1216" s="47" t="str">
        <f>IF(wskakunin_koutei_izen02_KOUTEI_TEXT="","",wskakunin_koutei_izen02_KOUTEI_TEXT)</f>
        <v/>
      </c>
    </row>
    <row r="1217" spans="1:6" ht="15" customHeight="1">
      <c r="A1217" s="180"/>
      <c r="B1217" s="112" t="s">
        <v>2294</v>
      </c>
      <c r="C1217" s="15" t="s">
        <v>2307</v>
      </c>
      <c r="D1217" s="221"/>
      <c r="E1217" s="15" t="s">
        <v>2308</v>
      </c>
      <c r="F1217" s="47" t="str">
        <f>IF(wskakunin_koutei_izen02_INTER_ISSUE_NAME="","",wskakunin_koutei_izen02_INTER_ISSUE_NAME)</f>
        <v/>
      </c>
    </row>
    <row r="1218" spans="1:6" ht="15" customHeight="1">
      <c r="A1218" s="180"/>
      <c r="B1218" s="112" t="s">
        <v>2297</v>
      </c>
      <c r="C1218" s="15" t="s">
        <v>2309</v>
      </c>
      <c r="D1218" s="221"/>
      <c r="E1218" s="15" t="s">
        <v>2310</v>
      </c>
      <c r="F1218" s="47" t="str">
        <f>IF(wskakunin_koutei_izen02_INTER_ISSUE_NO="","",wskakunin_koutei_izen02_INTER_ISSUE_NO)</f>
        <v/>
      </c>
    </row>
    <row r="1219" spans="1:6" ht="15" customHeight="1">
      <c r="A1219" s="180"/>
      <c r="B1219" s="112" t="s">
        <v>2300</v>
      </c>
      <c r="C1219" s="15" t="s">
        <v>2311</v>
      </c>
      <c r="D1219" s="243"/>
      <c r="E1219" s="15" t="s">
        <v>2312</v>
      </c>
      <c r="F1219" s="243" t="str">
        <f>IF(wskakunin_koutei_izen02_INTER_ISSUE_DATE="","",wskakunin_koutei_izen02_INTER_ISSUE_DATE)</f>
        <v/>
      </c>
    </row>
    <row r="1220" spans="1:6" ht="15" customHeight="1">
      <c r="A1220" s="180"/>
      <c r="B1220" s="74"/>
    </row>
    <row r="1221" spans="1:6" ht="15" customHeight="1">
      <c r="A1221" s="179" t="s">
        <v>1717</v>
      </c>
      <c r="B1221" s="108"/>
    </row>
    <row r="1222" spans="1:6" ht="15" customHeight="1">
      <c r="A1222" s="180"/>
      <c r="B1222" s="74" t="s">
        <v>2207</v>
      </c>
      <c r="C1222" s="15" t="s">
        <v>2313</v>
      </c>
      <c r="D1222" s="221"/>
      <c r="E1222" s="15" t="s">
        <v>2314</v>
      </c>
      <c r="F1222" s="47" t="str">
        <f>IF(wskakunin_koutei_izen03_KOUTEI_KAISUU="","",wskakunin_koutei_izen03_KOUTEI_KAISUU)</f>
        <v/>
      </c>
    </row>
    <row r="1223" spans="1:6" ht="15" customHeight="1">
      <c r="A1223" s="180"/>
      <c r="B1223" s="73" t="s">
        <v>2275</v>
      </c>
      <c r="C1223" s="15" t="s">
        <v>2315</v>
      </c>
      <c r="D1223" s="221"/>
      <c r="E1223" s="15" t="s">
        <v>2316</v>
      </c>
      <c r="F1223" s="47" t="str">
        <f>IF(wskakunin_koutei_izen03_KOUTEI_TEXT="","",wskakunin_koutei_izen03_KOUTEI_TEXT)</f>
        <v/>
      </c>
    </row>
    <row r="1224" spans="1:6" ht="15" customHeight="1">
      <c r="A1224" s="180"/>
      <c r="B1224" s="112" t="s">
        <v>2294</v>
      </c>
      <c r="C1224" s="15" t="s">
        <v>2317</v>
      </c>
      <c r="D1224" s="221"/>
      <c r="E1224" s="15" t="s">
        <v>2318</v>
      </c>
      <c r="F1224" s="47" t="str">
        <f>IF(wskakunin_koutei_izen03_INTER_ISSUE_NAME="","",wskakunin_koutei_izen03_INTER_ISSUE_NAME)</f>
        <v/>
      </c>
    </row>
    <row r="1225" spans="1:6" ht="15" customHeight="1">
      <c r="A1225" s="180"/>
      <c r="B1225" s="112" t="s">
        <v>2297</v>
      </c>
      <c r="C1225" s="15" t="s">
        <v>2319</v>
      </c>
      <c r="D1225" s="221"/>
      <c r="E1225" s="15" t="s">
        <v>2320</v>
      </c>
      <c r="F1225" s="47" t="str">
        <f>IF(wskakunin_koutei_izen03_INTER_ISSUE_NO="","",wskakunin_koutei_izen03_INTER_ISSUE_NO)</f>
        <v/>
      </c>
    </row>
    <row r="1226" spans="1:6" ht="15" customHeight="1">
      <c r="A1226" s="180"/>
      <c r="B1226" s="112" t="s">
        <v>2300</v>
      </c>
      <c r="C1226" s="15" t="s">
        <v>2321</v>
      </c>
      <c r="D1226" s="241"/>
      <c r="E1226" s="15" t="s">
        <v>2322</v>
      </c>
      <c r="F1226" s="241" t="str">
        <f>IF(wskakunin_koutei_izen03_INTER_ISSUE_DATE="","",wskakunin_koutei_izen03_INTER_ISSUE_DATE)</f>
        <v/>
      </c>
    </row>
    <row r="1227" spans="1:6" ht="15" customHeight="1">
      <c r="A1227" s="181"/>
      <c r="B1227" s="74"/>
    </row>
    <row r="1228" spans="1:6" ht="15" customHeight="1">
      <c r="A1228" s="179" t="s">
        <v>2228</v>
      </c>
      <c r="B1228" s="108"/>
    </row>
    <row r="1229" spans="1:6" ht="15" customHeight="1">
      <c r="A1229" s="180"/>
      <c r="B1229" s="74" t="s">
        <v>2207</v>
      </c>
      <c r="C1229" s="15" t="s">
        <v>2323</v>
      </c>
      <c r="D1229" s="221"/>
      <c r="E1229" s="15" t="s">
        <v>2324</v>
      </c>
      <c r="F1229" s="47" t="str">
        <f>IF(wskakunin_koutei_izen04_KOUTEI_KAISUU="","",wskakunin_koutei_izen04_KOUTEI_KAISUU)</f>
        <v/>
      </c>
    </row>
    <row r="1230" spans="1:6" ht="15" customHeight="1">
      <c r="A1230" s="180"/>
      <c r="B1230" s="73" t="s">
        <v>2275</v>
      </c>
      <c r="C1230" s="15" t="s">
        <v>2325</v>
      </c>
      <c r="D1230" s="221"/>
      <c r="E1230" s="15" t="s">
        <v>2326</v>
      </c>
      <c r="F1230" s="47" t="str">
        <f>IF(wskakunin_koutei_izen04_KOUTEI_TEXT="","",wskakunin_koutei_izen04_KOUTEI_TEXT)</f>
        <v/>
      </c>
    </row>
    <row r="1231" spans="1:6" ht="15" customHeight="1">
      <c r="A1231" s="180"/>
      <c r="B1231" s="112" t="s">
        <v>2294</v>
      </c>
      <c r="C1231" s="15" t="s">
        <v>2327</v>
      </c>
      <c r="D1231" s="221"/>
      <c r="E1231" s="15" t="s">
        <v>2328</v>
      </c>
      <c r="F1231" s="47" t="str">
        <f>IF(wskakunin_koutei_izen04_INTER_ISSUE_NAME="","",wskakunin_koutei_izen04_INTER_ISSUE_NAME)</f>
        <v/>
      </c>
    </row>
    <row r="1232" spans="1:6" ht="15" customHeight="1">
      <c r="A1232" s="180"/>
      <c r="B1232" s="112" t="s">
        <v>2297</v>
      </c>
      <c r="C1232" s="15" t="s">
        <v>2329</v>
      </c>
      <c r="D1232" s="221"/>
      <c r="E1232" s="15" t="s">
        <v>2330</v>
      </c>
      <c r="F1232" s="47" t="str">
        <f>IF(wskakunin_koutei_izen04_INTER_ISSUE_NO="","",wskakunin_koutei_izen04_INTER_ISSUE_NO)</f>
        <v/>
      </c>
    </row>
    <row r="1233" spans="1:7" ht="15" customHeight="1">
      <c r="A1233" s="180"/>
      <c r="B1233" s="112" t="s">
        <v>2300</v>
      </c>
      <c r="C1233" s="15" t="s">
        <v>2331</v>
      </c>
      <c r="D1233" s="241"/>
      <c r="E1233" s="15" t="s">
        <v>2332</v>
      </c>
      <c r="F1233" s="241" t="str">
        <f>IF(wskakunin_koutei_izen04_INTER_ISSUE_DATE="","",wskakunin_koutei_izen04_INTER_ISSUE_DATE)</f>
        <v/>
      </c>
    </row>
    <row r="1234" spans="1:7" ht="15" customHeight="1">
      <c r="A1234" s="181"/>
      <c r="B1234" s="74"/>
    </row>
    <row r="1235" spans="1:7" ht="15" customHeight="1">
      <c r="A1235" s="179" t="s">
        <v>2333</v>
      </c>
      <c r="B1235" s="108" t="s">
        <v>2334</v>
      </c>
      <c r="G1235" s="15" t="s">
        <v>2270</v>
      </c>
    </row>
    <row r="1236" spans="1:7" ht="15" customHeight="1">
      <c r="A1236" s="180"/>
      <c r="B1236" s="74" t="s">
        <v>2335</v>
      </c>
      <c r="E1236" s="15" t="s">
        <v>2336</v>
      </c>
      <c r="F1236" s="47" t="str">
        <f ca="1">IF(chk_JOB_KIND_kakunin=1,"",cst_wskakunin_koutei_izen01_KOUTEI_KAISUU)</f>
        <v/>
      </c>
    </row>
    <row r="1237" spans="1:7" ht="15" customHeight="1">
      <c r="A1237" s="180"/>
      <c r="B1237" s="73" t="s">
        <v>2337</v>
      </c>
      <c r="E1237" s="15" t="s">
        <v>2338</v>
      </c>
      <c r="F1237" s="47" t="str">
        <f ca="1">IF(chk_JOB_KIND_kakunin=1,"",cst_wskakunin_koutei_izen01_KOUTEI_TEXT)</f>
        <v/>
      </c>
    </row>
    <row r="1238" spans="1:7" ht="15" customHeight="1">
      <c r="A1238" s="180"/>
      <c r="B1238" s="112" t="s">
        <v>2339</v>
      </c>
      <c r="E1238" s="15" t="s">
        <v>2340</v>
      </c>
      <c r="F1238" s="47" t="str">
        <f ca="1">IF(chk_JOB_KIND_kakunin=1,"",cst_wskakunin_koutei_izen01_INTER_ISSUE_NAME)</f>
        <v/>
      </c>
    </row>
    <row r="1239" spans="1:7" ht="15" customHeight="1">
      <c r="A1239" s="180"/>
      <c r="B1239" s="112" t="s">
        <v>2341</v>
      </c>
      <c r="E1239" s="15" t="s">
        <v>2342</v>
      </c>
      <c r="F1239" s="47" t="str">
        <f ca="1">IF(chk_JOB_KIND_kakunin=1,"",cst_wskakunin_koutei_izen01_INTER_ISSUE_NO)</f>
        <v/>
      </c>
    </row>
    <row r="1240" spans="1:7" ht="15" customHeight="1">
      <c r="A1240" s="180"/>
      <c r="B1240" s="112" t="s">
        <v>2343</v>
      </c>
      <c r="E1240" s="15" t="s">
        <v>2344</v>
      </c>
      <c r="F1240" s="243" t="str">
        <f ca="1">IF(chk_JOB_KIND_kakunin=1,"",cst_wskakunin_koutei_izen01_INTER_ISSUE_DATE)</f>
        <v/>
      </c>
    </row>
    <row r="1241" spans="1:7" ht="15" customHeight="1">
      <c r="A1241" s="180"/>
      <c r="B1241" s="74"/>
    </row>
    <row r="1242" spans="1:7" ht="15" customHeight="1">
      <c r="A1242" s="179" t="s">
        <v>2333</v>
      </c>
      <c r="B1242" s="108" t="s">
        <v>2345</v>
      </c>
      <c r="G1242" s="15" t="s">
        <v>2346</v>
      </c>
    </row>
    <row r="1243" spans="1:7" ht="15" customHeight="1">
      <c r="A1243" s="180"/>
      <c r="B1243" s="74" t="s">
        <v>2335</v>
      </c>
      <c r="E1243" s="15" t="s">
        <v>2347</v>
      </c>
      <c r="F1243" s="47" t="str">
        <f ca="1">IF(chk_INTER1_state_in_conf=1,cst_wskakunin_koutei01_KOUTEI_KAISUU,"")</f>
        <v/>
      </c>
    </row>
    <row r="1244" spans="1:7" ht="15" customHeight="1">
      <c r="A1244" s="180"/>
      <c r="B1244" s="73" t="s">
        <v>2337</v>
      </c>
      <c r="E1244" s="15" t="s">
        <v>2348</v>
      </c>
      <c r="F1244" s="47" t="str">
        <f ca="1">IF(chk_INTER1_state_in_conf=1,cst_wskakunin_koutei01_KOUTEI_TEXT,"")</f>
        <v/>
      </c>
    </row>
    <row r="1245" spans="1:7" ht="15" customHeight="1">
      <c r="A1245" s="180"/>
      <c r="B1245" s="112" t="s">
        <v>2339</v>
      </c>
      <c r="E1245" s="15" t="s">
        <v>2349</v>
      </c>
      <c r="F1245" s="47" t="str">
        <f ca="1">IF(chk_INTER1_state_in_conf=1,cst_wskakunin_KIKAN_NAME,"")</f>
        <v/>
      </c>
    </row>
    <row r="1246" spans="1:7" ht="15" customHeight="1">
      <c r="A1246" s="180"/>
      <c r="B1246" s="112" t="s">
        <v>2341</v>
      </c>
      <c r="E1246" s="15" t="s">
        <v>2350</v>
      </c>
      <c r="F1246" s="47" t="str">
        <f ca="1">IF(chk_INTER1_state_in_conf=1,"第   KAK建合        号","")</f>
        <v/>
      </c>
    </row>
    <row r="1247" spans="1:7" ht="15" customHeight="1">
      <c r="A1247" s="180"/>
      <c r="B1247" s="112" t="s">
        <v>2343</v>
      </c>
      <c r="E1247" s="15" t="s">
        <v>2351</v>
      </c>
      <c r="F1247" s="243" t="str">
        <f ca="1">IF(chk_INTER1_state_in_conf=1,"","")</f>
        <v/>
      </c>
    </row>
    <row r="1248" spans="1:7" ht="15" customHeight="1">
      <c r="A1248" s="181"/>
      <c r="B1248" s="74"/>
    </row>
    <row r="1249" spans="1:7" ht="15" customHeight="1">
      <c r="A1249" s="179" t="s">
        <v>2352</v>
      </c>
      <c r="B1249" s="108" t="s">
        <v>2334</v>
      </c>
      <c r="G1249" s="15" t="s">
        <v>2270</v>
      </c>
    </row>
    <row r="1250" spans="1:7" ht="15" customHeight="1">
      <c r="A1250" s="180"/>
      <c r="B1250" s="74" t="s">
        <v>2335</v>
      </c>
      <c r="E1250" s="15" t="s">
        <v>2353</v>
      </c>
      <c r="F1250" s="47" t="str">
        <f ca="1">IF(chk_JOB_KIND_kakunin=1,"",cst_wskakunin_koutei_izen02_KOUTEI_KAISUU)</f>
        <v/>
      </c>
    </row>
    <row r="1251" spans="1:7" ht="15" customHeight="1">
      <c r="A1251" s="180"/>
      <c r="B1251" s="73" t="s">
        <v>2337</v>
      </c>
      <c r="E1251" s="15" t="s">
        <v>2354</v>
      </c>
      <c r="F1251" s="47" t="str">
        <f ca="1">IF(chk_JOB_KIND_kakunin=1,"",cst_wskakunin_koutei_izen02_KOUTEI_TEXT)</f>
        <v/>
      </c>
    </row>
    <row r="1252" spans="1:7" ht="15" customHeight="1">
      <c r="A1252" s="180"/>
      <c r="B1252" s="112" t="s">
        <v>2339</v>
      </c>
      <c r="E1252" s="15" t="s">
        <v>2355</v>
      </c>
      <c r="F1252" s="47" t="str">
        <f ca="1">IF(chk_JOB_KIND_kakunin=1,"",cst_wskakunin_koutei_izen02_INTER_ISSUE_NAME)</f>
        <v/>
      </c>
    </row>
    <row r="1253" spans="1:7" ht="15" customHeight="1">
      <c r="A1253" s="180"/>
      <c r="B1253" s="112" t="s">
        <v>2341</v>
      </c>
      <c r="E1253" s="15" t="s">
        <v>2356</v>
      </c>
      <c r="F1253" s="47" t="str">
        <f ca="1">IF(chk_JOB_KIND_kakunin=1,"",cst_wskakunin_koutei_izen02_INTER_ISSUE_NO)</f>
        <v/>
      </c>
    </row>
    <row r="1254" spans="1:7" ht="15" customHeight="1">
      <c r="A1254" s="180"/>
      <c r="B1254" s="112" t="s">
        <v>2343</v>
      </c>
      <c r="E1254" s="15" t="s">
        <v>2357</v>
      </c>
      <c r="F1254" s="243" t="str">
        <f ca="1">IF(chk_JOB_KIND_kakunin=1,"",cst_wskakunin_koutei_izen02_INTER_ISSUE_DATE)</f>
        <v/>
      </c>
    </row>
    <row r="1255" spans="1:7" ht="15" customHeight="1">
      <c r="A1255" s="180"/>
      <c r="B1255" s="74"/>
    </row>
    <row r="1256" spans="1:7" ht="15" customHeight="1">
      <c r="A1256" s="179" t="s">
        <v>2352</v>
      </c>
      <c r="B1256" s="108" t="s">
        <v>2345</v>
      </c>
      <c r="G1256" s="15" t="s">
        <v>2270</v>
      </c>
    </row>
    <row r="1257" spans="1:7" ht="15" customHeight="1">
      <c r="A1257" s="180"/>
      <c r="B1257" s="74" t="s">
        <v>2335</v>
      </c>
      <c r="E1257" s="15" t="s">
        <v>2358</v>
      </c>
      <c r="F1257" s="47" t="str">
        <f ca="1">IF(chk_INTER1_state_in_conf=1,"","")</f>
        <v/>
      </c>
    </row>
    <row r="1258" spans="1:7" ht="15" customHeight="1">
      <c r="A1258" s="180"/>
      <c r="B1258" s="73" t="s">
        <v>2337</v>
      </c>
      <c r="E1258" s="15" t="s">
        <v>2359</v>
      </c>
      <c r="F1258" s="47" t="str">
        <f ca="1">IF(chk_INTER1_state_in_conf=1,"","")</f>
        <v/>
      </c>
    </row>
    <row r="1259" spans="1:7" ht="15" customHeight="1">
      <c r="A1259" s="180"/>
      <c r="B1259" s="112" t="s">
        <v>2339</v>
      </c>
      <c r="E1259" s="15" t="s">
        <v>2360</v>
      </c>
      <c r="F1259" s="47" t="str">
        <f ca="1">IF(chk_INTER1_state_in_conf=1,"","")</f>
        <v/>
      </c>
    </row>
    <row r="1260" spans="1:7" ht="15" customHeight="1">
      <c r="A1260" s="180"/>
      <c r="B1260" s="112" t="s">
        <v>2341</v>
      </c>
      <c r="E1260" s="15" t="s">
        <v>2361</v>
      </c>
      <c r="F1260" s="47" t="str">
        <f ca="1">IF(chk_INTER1_state_in_conf=1,"","")</f>
        <v/>
      </c>
    </row>
    <row r="1261" spans="1:7" ht="15" customHeight="1">
      <c r="A1261" s="180"/>
      <c r="B1261" s="112" t="s">
        <v>2343</v>
      </c>
      <c r="E1261" s="15" t="s">
        <v>2362</v>
      </c>
      <c r="F1261" s="243" t="str">
        <f ca="1">IF(chk_INTER1_state_in_conf=1,"","")</f>
        <v/>
      </c>
    </row>
    <row r="1262" spans="1:7" ht="15" customHeight="1">
      <c r="A1262" s="181"/>
      <c r="B1262" s="74"/>
    </row>
    <row r="1263" spans="1:7" ht="15" customHeight="1">
      <c r="A1263" s="169" t="s">
        <v>2363</v>
      </c>
      <c r="B1263" s="107"/>
    </row>
    <row r="1264" spans="1:7" ht="15" customHeight="1">
      <c r="A1264" s="179" t="s">
        <v>1665</v>
      </c>
      <c r="B1264" s="108"/>
    </row>
    <row r="1265" spans="1:7" ht="15" customHeight="1">
      <c r="A1265" s="180"/>
      <c r="B1265" s="74" t="s">
        <v>2207</v>
      </c>
      <c r="C1265" s="15" t="s">
        <v>2364</v>
      </c>
      <c r="D1265" s="221"/>
      <c r="E1265" s="15" t="s">
        <v>2365</v>
      </c>
      <c r="F1265" s="47" t="str">
        <f>IF(wskakunin_koutei_ikou01_KOUTEI_KAISUU="","",wskakunin_koutei_ikou01_KOUTEI_KAISUU)</f>
        <v/>
      </c>
    </row>
    <row r="1266" spans="1:7" ht="15" customHeight="1">
      <c r="A1266" s="180"/>
      <c r="B1266" s="73" t="s">
        <v>2275</v>
      </c>
      <c r="C1266" s="15" t="s">
        <v>2366</v>
      </c>
      <c r="D1266" s="221"/>
      <c r="E1266" s="15" t="s">
        <v>2367</v>
      </c>
      <c r="F1266" s="47" t="str">
        <f>IF(wskakunin_koutei_ikou01_KOUTEI_TEXT="","",wskakunin_koutei_ikou01_KOUTEI_TEXT)</f>
        <v/>
      </c>
    </row>
    <row r="1267" spans="1:7" ht="15" customHeight="1">
      <c r="A1267" s="180"/>
      <c r="B1267" s="73" t="s">
        <v>2368</v>
      </c>
      <c r="C1267" s="15" t="s">
        <v>2369</v>
      </c>
      <c r="D1267" s="243"/>
      <c r="E1267" s="15" t="s">
        <v>2370</v>
      </c>
      <c r="F1267" s="243" t="str">
        <f>IF(wskakunin_koutei_ikou01_KOUTEI_DATE="","",wskakunin_koutei_ikou01_KOUTEI_DATE)</f>
        <v/>
      </c>
    </row>
    <row r="1268" spans="1:7" ht="15" customHeight="1">
      <c r="A1268" s="181"/>
      <c r="B1268" s="74"/>
    </row>
    <row r="1269" spans="1:7" ht="15" customHeight="1">
      <c r="A1269" s="179" t="s">
        <v>2371</v>
      </c>
      <c r="B1269" s="108"/>
    </row>
    <row r="1270" spans="1:7" ht="15" customHeight="1">
      <c r="A1270" s="180"/>
      <c r="B1270" s="74" t="s">
        <v>2207</v>
      </c>
      <c r="C1270" s="15" t="s">
        <v>2372</v>
      </c>
      <c r="D1270" s="221"/>
      <c r="E1270" s="15" t="s">
        <v>2373</v>
      </c>
      <c r="F1270" s="47" t="str">
        <f>IF(wskakunin_koutei_ikou02_KOUTEI_KAISUU="","",wskakunin_koutei_ikou02_KOUTEI_KAISUU)</f>
        <v/>
      </c>
    </row>
    <row r="1271" spans="1:7" ht="15" customHeight="1">
      <c r="A1271" s="180"/>
      <c r="B1271" s="73" t="s">
        <v>2275</v>
      </c>
      <c r="C1271" s="15" t="s">
        <v>2374</v>
      </c>
      <c r="D1271" s="221"/>
      <c r="E1271" s="15" t="s">
        <v>2375</v>
      </c>
      <c r="F1271" s="47" t="str">
        <f>IF(wskakunin_koutei_ikou02_KOUTEI_TEXT="","",wskakunin_koutei_ikou02_KOUTEI_TEXT)</f>
        <v/>
      </c>
    </row>
    <row r="1272" spans="1:7" ht="15" customHeight="1">
      <c r="A1272" s="180"/>
      <c r="B1272" s="73" t="s">
        <v>2368</v>
      </c>
      <c r="C1272" s="15" t="s">
        <v>2376</v>
      </c>
      <c r="D1272" s="243"/>
      <c r="E1272" s="15" t="s">
        <v>2377</v>
      </c>
      <c r="F1272" s="243" t="str">
        <f>IF(wskakunin_koutei_ikou02_KOUTEI_DATE="","",wskakunin_koutei_ikou02_KOUTEI_DATE)</f>
        <v/>
      </c>
    </row>
    <row r="1273" spans="1:7" ht="15" customHeight="1">
      <c r="A1273" s="181"/>
      <c r="B1273" s="74"/>
    </row>
    <row r="1274" spans="1:7" ht="15" customHeight="1">
      <c r="A1274" s="179" t="s">
        <v>2378</v>
      </c>
      <c r="B1274" s="108" t="s">
        <v>2334</v>
      </c>
      <c r="G1274" s="15" t="s">
        <v>2379</v>
      </c>
    </row>
    <row r="1275" spans="1:7" ht="15" customHeight="1">
      <c r="A1275" s="180"/>
      <c r="B1275" s="74" t="s">
        <v>2335</v>
      </c>
      <c r="E1275" s="15" t="s">
        <v>2380</v>
      </c>
      <c r="F1275" s="47" t="str">
        <f ca="1">IF(chk_INTER2_state_in_conf=1,cst_wskakunin_koutei02_KOUTEI_KAISUU,cst_wskakunin_koutei_ikou01_KOUTEI_KAISUU)</f>
        <v/>
      </c>
    </row>
    <row r="1276" spans="1:7" ht="15" customHeight="1">
      <c r="A1276" s="180"/>
      <c r="B1276" s="73" t="s">
        <v>2337</v>
      </c>
      <c r="E1276" s="15" t="s">
        <v>2381</v>
      </c>
      <c r="F1276" s="47" t="str">
        <f ca="1">IF(chk_INTER2_state_in_conf=1,cst_wskakunin_koutei02_KOUTEI_TEXT,cst_wskakunin_koutei_ikou01_KOUTEI_TEXT)</f>
        <v/>
      </c>
    </row>
    <row r="1277" spans="1:7" ht="15" customHeight="1">
      <c r="A1277" s="180"/>
      <c r="B1277" s="73" t="s">
        <v>2382</v>
      </c>
      <c r="E1277" s="15" t="s">
        <v>2383</v>
      </c>
      <c r="F1277" s="243" t="str">
        <f ca="1">IF(chk_INTER2_state_in_conf=1,cst_wskakunin_koutei02_KOUTEI_DATE,cst_wskakunin_koutei_ikou01_KOUTEI_DATE)</f>
        <v/>
      </c>
    </row>
    <row r="1278" spans="1:7" ht="15" customHeight="1">
      <c r="A1278" s="181"/>
      <c r="B1278" s="74"/>
    </row>
    <row r="1279" spans="1:7" ht="15" customHeight="1">
      <c r="A1279" s="179" t="s">
        <v>2378</v>
      </c>
      <c r="B1279" s="66" t="s">
        <v>2345</v>
      </c>
      <c r="G1279" s="15" t="s">
        <v>2384</v>
      </c>
    </row>
    <row r="1280" spans="1:7" ht="15" customHeight="1">
      <c r="A1280" s="180"/>
      <c r="B1280" s="74" t="s">
        <v>2335</v>
      </c>
      <c r="E1280" s="15" t="s">
        <v>2385</v>
      </c>
      <c r="F1280" s="47" t="str">
        <f ca="1">IF(chk_INTER3_state_in_conf=1,cst_wskakunin_koutei03_KOUTEI_KAISUU,"")</f>
        <v/>
      </c>
    </row>
    <row r="1281" spans="1:7" ht="15" customHeight="1">
      <c r="A1281" s="180"/>
      <c r="B1281" s="73" t="s">
        <v>2337</v>
      </c>
      <c r="E1281" s="15" t="s">
        <v>2386</v>
      </c>
      <c r="F1281" s="47" t="str">
        <f ca="1">IF(chk_INTER3_state_in_conf=1,cst_wskakunin_koutei03_KOUTEI_TEXT,"")</f>
        <v/>
      </c>
    </row>
    <row r="1282" spans="1:7" ht="15" customHeight="1">
      <c r="A1282" s="180"/>
      <c r="B1282" s="73" t="s">
        <v>2382</v>
      </c>
      <c r="E1282" s="15" t="s">
        <v>2387</v>
      </c>
      <c r="F1282" s="243" t="str">
        <f ca="1">IF(chk_INTER3_state_in_conf=1,cst_wskakunin_koutei03_KOUTEI_DATE,"")</f>
        <v/>
      </c>
    </row>
    <row r="1283" spans="1:7" ht="15" customHeight="1">
      <c r="A1283" s="181"/>
      <c r="B1283" s="74"/>
    </row>
    <row r="1284" spans="1:7" ht="15" customHeight="1">
      <c r="A1284" s="179" t="s">
        <v>2388</v>
      </c>
      <c r="B1284" s="108" t="s">
        <v>2334</v>
      </c>
      <c r="G1284" s="15" t="s">
        <v>2389</v>
      </c>
    </row>
    <row r="1285" spans="1:7" ht="15" customHeight="1">
      <c r="A1285" s="180"/>
      <c r="B1285" s="74" t="s">
        <v>2335</v>
      </c>
      <c r="E1285" s="15" t="s">
        <v>2390</v>
      </c>
      <c r="F1285" s="47" t="str">
        <f ca="1">IF(chk_INTER2_state_in_conf=1,cst_wskakunin_koutei02_KOUTEI_KAISUU,cst_wskakunin_koutei_ikou02_KOUTEI_KAISUU)</f>
        <v/>
      </c>
    </row>
    <row r="1286" spans="1:7" ht="15" customHeight="1">
      <c r="A1286" s="180"/>
      <c r="B1286" s="73" t="s">
        <v>2337</v>
      </c>
      <c r="E1286" s="15" t="s">
        <v>2391</v>
      </c>
      <c r="F1286" s="47" t="str">
        <f ca="1">IF(chk_INTER2_state_in_conf=1,cst_wskakunin_koutei02_KOUTEI_TEXT,cst_wskakunin_koutei_ikou02_KOUTEI_TEXT)</f>
        <v/>
      </c>
    </row>
    <row r="1287" spans="1:7" ht="15" customHeight="1">
      <c r="A1287" s="180"/>
      <c r="B1287" s="73" t="s">
        <v>2382</v>
      </c>
      <c r="E1287" s="15" t="s">
        <v>2392</v>
      </c>
      <c r="F1287" s="243" t="str">
        <f ca="1">IF(chk_INTER2_state_in_conf=1,cst_wskakunin_koutei02_KOUTEI_DATE,cst_wskakunin_koutei_ikou02_KOUTEI_DATE)</f>
        <v/>
      </c>
    </row>
    <row r="1288" spans="1:7" ht="15" customHeight="1">
      <c r="A1288" s="181"/>
      <c r="B1288" s="74"/>
    </row>
    <row r="1289" spans="1:7" ht="15" customHeight="1">
      <c r="A1289" s="179" t="s">
        <v>2388</v>
      </c>
      <c r="B1289" s="66" t="s">
        <v>2345</v>
      </c>
      <c r="G1289" s="15" t="s">
        <v>2393</v>
      </c>
    </row>
    <row r="1290" spans="1:7" ht="15" customHeight="1">
      <c r="A1290" s="180"/>
      <c r="B1290" s="74" t="s">
        <v>2335</v>
      </c>
      <c r="E1290" s="15" t="s">
        <v>2394</v>
      </c>
      <c r="F1290" s="47" t="str">
        <f ca="1">IF(chk_INTER3_state_in_conf=1,cst_wskakunin_koutei03_KOUTEI_KAISUU,"")</f>
        <v/>
      </c>
    </row>
    <row r="1291" spans="1:7" ht="15" customHeight="1">
      <c r="A1291" s="180"/>
      <c r="B1291" s="73" t="s">
        <v>2337</v>
      </c>
      <c r="E1291" s="15" t="s">
        <v>2395</v>
      </c>
      <c r="F1291" s="47" t="str">
        <f ca="1">IF(chk_INTER3_state_in_conf=1,cst_wskakunin_koutei03_KOUTEI_TEXT,"")</f>
        <v/>
      </c>
    </row>
    <row r="1292" spans="1:7" ht="15" customHeight="1">
      <c r="A1292" s="180"/>
      <c r="B1292" s="73" t="s">
        <v>2382</v>
      </c>
      <c r="E1292" s="15" t="s">
        <v>2396</v>
      </c>
      <c r="F1292" s="243" t="str">
        <f ca="1">IF(chk_INTER3_state_in_conf=1,cst_wskakunin_koutei03_KOUTEI_DATE,"")</f>
        <v/>
      </c>
    </row>
    <row r="1293" spans="1:7" ht="15" customHeight="1">
      <c r="A1293" s="182"/>
      <c r="B1293" s="75"/>
    </row>
    <row r="1294" spans="1:7" ht="15" customHeight="1">
      <c r="A1294" s="167" t="s">
        <v>2397</v>
      </c>
      <c r="B1294" s="726"/>
      <c r="C1294" t="s">
        <v>2398</v>
      </c>
    </row>
    <row r="1295" spans="1:7" ht="15" customHeight="1">
      <c r="A1295" s="51"/>
      <c r="B1295" s="79" t="s">
        <v>2399</v>
      </c>
      <c r="C1295" s="15" t="s">
        <v>2400</v>
      </c>
      <c r="D1295" s="221"/>
      <c r="E1295" s="15" t="s">
        <v>2401</v>
      </c>
      <c r="F1295" s="47" t="str">
        <f>IF(wskakunin_keibi_henkou01_HENKOU_SYURUI="","",wskakunin_keibi_henkou01_HENKOU_SYURUI)</f>
        <v/>
      </c>
    </row>
    <row r="1296" spans="1:7" ht="15" customHeight="1">
      <c r="A1296" s="51"/>
      <c r="B1296" s="79" t="s">
        <v>2402</v>
      </c>
      <c r="C1296" s="15" t="s">
        <v>2403</v>
      </c>
      <c r="D1296" s="221"/>
      <c r="E1296" s="15" t="s">
        <v>2404</v>
      </c>
      <c r="F1296" s="47" t="str">
        <f>IF(wskakunin_keibi_henkou01_HENKOU_GAIYOU="","",wskakunin_keibi_henkou01_HENKOU_GAIYOU)</f>
        <v/>
      </c>
    </row>
    <row r="1297" spans="1:7" ht="15" customHeight="1">
      <c r="A1297" s="52"/>
      <c r="B1297" s="75"/>
      <c r="C1297" s="18"/>
    </row>
    <row r="1298" spans="1:7" ht="15" customHeight="1">
      <c r="A1298" s="164" t="s">
        <v>2405</v>
      </c>
      <c r="B1298" s="104" t="s">
        <v>1724</v>
      </c>
      <c r="F1298" s="15" t="s">
        <v>154</v>
      </c>
      <c r="G1298" s="15" t="s">
        <v>155</v>
      </c>
    </row>
    <row r="1299" spans="1:7" ht="15" customHeight="1">
      <c r="A1299" s="167" t="s">
        <v>2406</v>
      </c>
      <c r="B1299" s="731"/>
      <c r="C1299" s="15" t="s">
        <v>2407</v>
      </c>
      <c r="D1299" s="243"/>
      <c r="E1299" s="15" t="s">
        <v>2408</v>
      </c>
      <c r="F1299" s="243" t="str">
        <f ca="1">IF(chk_JOB_KIND_kakunin=1,"",IF(wskakunin_KOUJI_KANRYOU_DATE="","",wskakunin_KOUJI_KANRYOU_DATE))</f>
        <v/>
      </c>
      <c r="G1299" s="15" t="s">
        <v>2270</v>
      </c>
    </row>
    <row r="1300" spans="1:7" ht="15" customHeight="1">
      <c r="A1300" s="88" t="s">
        <v>2409</v>
      </c>
      <c r="B1300" s="107"/>
    </row>
    <row r="1301" spans="1:7" ht="15" customHeight="1">
      <c r="A1301" s="165" t="s">
        <v>2410</v>
      </c>
      <c r="B1301" s="108" t="s">
        <v>2411</v>
      </c>
    </row>
    <row r="1302" spans="1:7" ht="15" customHeight="1">
      <c r="A1302" s="51"/>
      <c r="B1302" s="74" t="s">
        <v>2207</v>
      </c>
      <c r="E1302" s="15" t="s">
        <v>2209</v>
      </c>
      <c r="F1302" s="15" t="str">
        <f>cst_wskakunin_koutei01_KOUTEI_KAISUU</f>
        <v/>
      </c>
    </row>
    <row r="1303" spans="1:7" ht="15" customHeight="1">
      <c r="A1303" s="51"/>
      <c r="B1303" s="74" t="s">
        <v>2275</v>
      </c>
      <c r="E1303" s="15" t="s">
        <v>2215</v>
      </c>
      <c r="F1303" s="15" t="str">
        <f>cst_wskakunin_koutei01_KOUTEI_TEXT</f>
        <v/>
      </c>
    </row>
    <row r="1304" spans="1:7" ht="15" customHeight="1">
      <c r="A1304" s="51"/>
      <c r="B1304" s="74" t="s">
        <v>2412</v>
      </c>
      <c r="C1304" s="15" t="s">
        <v>2413</v>
      </c>
      <c r="D1304" s="221"/>
      <c r="E1304" s="15" t="s">
        <v>2414</v>
      </c>
      <c r="F1304" s="47" t="str">
        <f>IF(wskakunin_koutei01_INTER_ISSUE_NAME="","",wskakunin_koutei01_INTER_ISSUE_NAME)</f>
        <v/>
      </c>
    </row>
    <row r="1305" spans="1:7" ht="15" customHeight="1">
      <c r="A1305" s="51"/>
      <c r="B1305" s="74" t="s">
        <v>2297</v>
      </c>
      <c r="C1305" s="15" t="s">
        <v>2415</v>
      </c>
      <c r="D1305" s="221"/>
      <c r="E1305" s="15" t="s">
        <v>2416</v>
      </c>
      <c r="F1305" s="47" t="str">
        <f>IF(wskakunin_koutei01_INTER_ISSUE_NO="","",wskakunin_koutei01_INTER_ISSUE_NO)</f>
        <v/>
      </c>
    </row>
    <row r="1306" spans="1:7" ht="15" customHeight="1">
      <c r="A1306" s="51"/>
      <c r="B1306" s="74" t="s">
        <v>2300</v>
      </c>
      <c r="C1306" s="15" t="s">
        <v>2417</v>
      </c>
      <c r="D1306" s="243"/>
      <c r="E1306" s="15" t="s">
        <v>2418</v>
      </c>
      <c r="F1306" s="243" t="str">
        <f>IF(wskakunin_koutei01_INTER_ISSUE_DATE="","",wskakunin_koutei01_INTER_ISSUE_DATE)</f>
        <v/>
      </c>
    </row>
    <row r="1307" spans="1:7" ht="15" customHeight="1">
      <c r="A1307" s="51"/>
      <c r="B1307" s="74"/>
      <c r="D1307" s="177"/>
      <c r="F1307" s="177"/>
    </row>
    <row r="1308" spans="1:7" ht="15" customHeight="1">
      <c r="A1308" s="165"/>
      <c r="B1308" s="178" t="s">
        <v>2419</v>
      </c>
      <c r="D1308" s="177"/>
      <c r="F1308" s="177"/>
    </row>
    <row r="1309" spans="1:7" ht="15" customHeight="1">
      <c r="A1309" s="51"/>
      <c r="B1309" s="74" t="s">
        <v>2207</v>
      </c>
      <c r="D1309" s="177"/>
      <c r="E1309" s="15" t="s">
        <v>2420</v>
      </c>
      <c r="F1309" s="241" t="str">
        <f ca="1">IF(OR(chk_INTER_state_in_final=10,chk_INTER_state_in_final=40),cst_wskakunin_koutei01_KOUTEI_KAISUU,IF(chk_INTER_state_in_final=30,cst_wskakunin_keika01_TOUTEI_KAISUU_inter0,IF(chk_INTER_state_in_final=31,cst_wskakunin_koutei_izen01_KOUTEI_KAISUU,IF(chk_INTER_state_in_final=32,cst_wskakunin_koutei_izen01_KOUTEI_KAISUU,""))))</f>
        <v/>
      </c>
    </row>
    <row r="1310" spans="1:7" ht="15" customHeight="1">
      <c r="A1310" s="51"/>
      <c r="B1310" s="74" t="s">
        <v>2275</v>
      </c>
      <c r="D1310" s="177"/>
      <c r="E1310" s="15" t="s">
        <v>2421</v>
      </c>
      <c r="F1310" s="241" t="str">
        <f ca="1">IF(OR(chk_INTER_state_in_final=10,chk_INTER_state_in_final=40),cst_wskakunin_koutei01_KOUTEI_TEXT,IF(chk_INTER_state_in_final=30,cst_wskakunin_TOKUTEI_KOUTEI,IF(chk_INTER_state_in_final=31,cst_wskakunin_koutei_izen01_KOUTEI_TEXT,IF(chk_INTER_state_in_final=32,cst_wskakunin_koutei_izen01_KOUTEI_TEXT,""))))</f>
        <v/>
      </c>
    </row>
    <row r="1311" spans="1:7" ht="15" customHeight="1">
      <c r="A1311" s="51"/>
      <c r="B1311" s="74" t="s">
        <v>2412</v>
      </c>
      <c r="D1311" s="177"/>
      <c r="E1311" s="15" t="s">
        <v>2422</v>
      </c>
      <c r="F1311" s="241" t="str">
        <f ca="1">IF(OR(chk_INTER_state_in_final=10,chk_INTER_state_in_final=40),cst_wskakunin_koutei01_INTER_ISSUE_NAME,IF(chk_INTER_state_in_final=30,cst_wskakunin_keika01_INTER_ISSUE_NAME_inter0,IF(chk_INTER_state_in_final=31,cst_wskakunin_koutei_izen01_INTER_ISSUE_NAME,IF(chk_INTER_state_in_final=32,cst_wskakunin_koutei_izen01_INTER_ISSUE_NAME,""))))</f>
        <v/>
      </c>
    </row>
    <row r="1312" spans="1:7" ht="15" customHeight="1">
      <c r="A1312" s="51"/>
      <c r="B1312" s="74" t="s">
        <v>2297</v>
      </c>
      <c r="D1312" s="177"/>
      <c r="E1312" s="15" t="s">
        <v>2423</v>
      </c>
      <c r="F1312" s="241" t="str">
        <f ca="1">IF(OR(chk_INTER_state_in_final=10,chk_INTER_state_in_final=40),cst_wskakunin_koutei01_INTER_ISSUE_NO,IF(chk_INTER_state_in_final=30,cst_wskakunin_keika01_INTER_ISSUE_NO_inter0,IF(chk_INTER_state_in_final=31,cst_wskakunin_koutei_izen01_INTER_ISSUE_NO,IF(chk_INTER_state_in_final=32,cst_wskakunin_koutei_izen01_INTER_ISSUE_NO,""))))</f>
        <v/>
      </c>
    </row>
    <row r="1313" spans="1:6" ht="15" customHeight="1">
      <c r="A1313" s="51"/>
      <c r="B1313" s="74" t="s">
        <v>2300</v>
      </c>
      <c r="D1313" s="177"/>
      <c r="E1313" s="15" t="s">
        <v>2424</v>
      </c>
      <c r="F1313" s="243" t="str">
        <f ca="1">IF(OR(chk_INTER_state_in_final=10,chk_INTER_state_in_final=40),cst_wskakunin_koutei01_INTER_ISSUE_DATE,IF(chk_INTER_state_in_final=30,"",IF(chk_INTER_state_in_final=31,cst_wskakunin_koutei_izen01_INTER_ISSUE_DATE,IF(chk_INTER_state_in_final=32,cst_wskakunin_koutei_izen01_INTER_ISSUE_DATE,""))))</f>
        <v/>
      </c>
    </row>
    <row r="1314" spans="1:6" ht="15" customHeight="1">
      <c r="A1314" s="166"/>
      <c r="B1314" s="74"/>
    </row>
    <row r="1315" spans="1:6" ht="15" customHeight="1">
      <c r="A1315" s="51" t="s">
        <v>2425</v>
      </c>
      <c r="B1315" s="108" t="s">
        <v>2411</v>
      </c>
    </row>
    <row r="1316" spans="1:6" ht="15" customHeight="1">
      <c r="A1316" s="51"/>
      <c r="B1316" s="74" t="s">
        <v>2207</v>
      </c>
      <c r="E1316" s="15" t="s">
        <v>2217</v>
      </c>
      <c r="F1316" s="15" t="str">
        <f>cst_wskakunin_koutei02_KOUTEI_KAISUU</f>
        <v/>
      </c>
    </row>
    <row r="1317" spans="1:6" ht="15" customHeight="1">
      <c r="A1317" s="51"/>
      <c r="B1317" s="74" t="s">
        <v>2275</v>
      </c>
      <c r="E1317" s="15" t="s">
        <v>2221</v>
      </c>
      <c r="F1317" s="15" t="str">
        <f>cst_wskakunin_koutei02_KOUTEI_TEXT</f>
        <v/>
      </c>
    </row>
    <row r="1318" spans="1:6" ht="15" customHeight="1">
      <c r="A1318" s="51"/>
      <c r="B1318" s="74" t="s">
        <v>2412</v>
      </c>
      <c r="C1318" s="15" t="s">
        <v>2426</v>
      </c>
      <c r="D1318" s="221"/>
      <c r="E1318" s="15" t="s">
        <v>2427</v>
      </c>
      <c r="F1318" s="47" t="str">
        <f>IF(wskakunin_koutei02_INTER_ISSUE_NAME="","",wskakunin_koutei02_INTER_ISSUE_NAME)</f>
        <v/>
      </c>
    </row>
    <row r="1319" spans="1:6" ht="15" customHeight="1">
      <c r="A1319" s="51"/>
      <c r="B1319" s="74" t="s">
        <v>2297</v>
      </c>
      <c r="C1319" s="15" t="s">
        <v>2428</v>
      </c>
      <c r="D1319" s="221"/>
      <c r="E1319" s="15" t="s">
        <v>2429</v>
      </c>
      <c r="F1319" s="47" t="str">
        <f>IF(wskakunin_koutei02_INTER_ISSUE_NO="","",wskakunin_koutei02_INTER_ISSUE_NO)</f>
        <v/>
      </c>
    </row>
    <row r="1320" spans="1:6" ht="15" customHeight="1">
      <c r="A1320" s="51"/>
      <c r="B1320" s="74" t="s">
        <v>2300</v>
      </c>
      <c r="C1320" s="15" t="s">
        <v>2430</v>
      </c>
      <c r="D1320" s="243"/>
      <c r="E1320" s="15" t="s">
        <v>2431</v>
      </c>
      <c r="F1320" s="243" t="str">
        <f>IF(wskakunin_koutei02_INTER_ISSUE_DATE="","",wskakunin_koutei02_INTER_ISSUE_DATE)</f>
        <v/>
      </c>
    </row>
    <row r="1321" spans="1:6" ht="15" customHeight="1">
      <c r="A1321" s="51"/>
      <c r="B1321" s="74"/>
      <c r="D1321" s="177"/>
      <c r="F1321" s="177"/>
    </row>
    <row r="1322" spans="1:6" ht="15" customHeight="1">
      <c r="A1322" s="51"/>
      <c r="B1322" s="74"/>
      <c r="D1322" s="177"/>
      <c r="F1322" s="177"/>
    </row>
    <row r="1323" spans="1:6" ht="15" customHeight="1">
      <c r="A1323" s="165"/>
      <c r="B1323" s="178" t="s">
        <v>2419</v>
      </c>
      <c r="D1323" s="177"/>
      <c r="F1323" s="177"/>
    </row>
    <row r="1324" spans="1:6" ht="15" customHeight="1">
      <c r="A1324" s="51"/>
      <c r="B1324" s="74" t="s">
        <v>2207</v>
      </c>
      <c r="D1324" s="177"/>
      <c r="E1324" s="15" t="s">
        <v>2432</v>
      </c>
      <c r="F1324" s="241" t="str">
        <f ca="1">IF(OR(chk_INTER_state_in_final=10,chk_INTER_state_in_final=40),cst_wskakunin_koutei02_KOUTEI_KAISUU,IF(chk_INTER_state_in_final=30,cst_wskakunin_keika02_TOUTEI_KAISUU_inter0,IF(chk_INTER_state_in_final=31,cst_wskakunin_koutei_izen01_KOUTEI_KAISUU,IF(chk_INTER_state_in_final=32,cst_wskakunin_koutei_izen02_KOUTEI_KAISUU,""))))</f>
        <v/>
      </c>
    </row>
    <row r="1325" spans="1:6" ht="15" customHeight="1">
      <c r="A1325" s="51"/>
      <c r="B1325" s="74" t="s">
        <v>2275</v>
      </c>
      <c r="D1325" s="177"/>
      <c r="E1325" s="15" t="s">
        <v>2433</v>
      </c>
      <c r="F1325" s="241" t="str">
        <f ca="1">IF(OR(chk_INTER_state_in_final=10,chk_INTER_state_in_final=40),cst_wskakunin_koutei02_KOUTEI_TEXT,IF(chk_INTER_state_in_final=30,cst_wskakunin_koutei_ikou01_KOUTEI_TEXT,IF(chk_INTER_state_in_final=31,cst_wskakunin_koutei_izen01_KOUTEI_TEXT,IF(chk_INTER_state_in_final=32,cst_wskakunin_koutei_izen02_KOUTEI_TEXT,""))))</f>
        <v/>
      </c>
    </row>
    <row r="1326" spans="1:6" ht="15" customHeight="1">
      <c r="A1326" s="51"/>
      <c r="B1326" s="74" t="s">
        <v>2412</v>
      </c>
      <c r="D1326" s="177"/>
      <c r="E1326" s="15" t="s">
        <v>2434</v>
      </c>
      <c r="F1326" s="241" t="str">
        <f ca="1">IF(OR(chk_INTER_state_in_final=10,chk_INTER_state_in_final=40),cst_wskakunin_koutei02_INTER_ISSUE_NAME,IF(chk_INTER_state_in_final=30,cst_wskakunin_keika02_INTER_ISSUE_NAME_inter0,IF(chk_INTER_state_in_final=31,cst_wskakunin_koutei_izen01_INTER_ISSUE_NAME,IF(chk_INTER_state_in_final=32,cst_wskakunin_koutei_izen02_INTER_ISSUE_NAME,""))))</f>
        <v/>
      </c>
    </row>
    <row r="1327" spans="1:6" ht="15" customHeight="1">
      <c r="A1327" s="51"/>
      <c r="B1327" s="74" t="s">
        <v>2297</v>
      </c>
      <c r="D1327" s="177"/>
      <c r="E1327" s="15" t="s">
        <v>2435</v>
      </c>
      <c r="F1327" s="241" t="str">
        <f ca="1">IF(OR(chk_INTER_state_in_final=10,chk_INTER_state_in_final=40),cst_wskakunin_koutei02_INTER_ISSUE_NO,IF(chk_INTER_state_in_final=30,cst_wskakunin_keika02_INTER_ISSUE_NO_inter0,IF(chk_INTER_state_in_final=31,cst_wskakunin_koutei_izen01_INTER_ISSUE_NO,IF(chk_INTER_state_in_final=32,cst_wskakunin_koutei_izen02_INTER_ISSUE_NO,""))))</f>
        <v/>
      </c>
    </row>
    <row r="1328" spans="1:6" ht="15" customHeight="1">
      <c r="A1328" s="51"/>
      <c r="B1328" s="74" t="s">
        <v>2300</v>
      </c>
      <c r="D1328" s="177"/>
      <c r="E1328" s="15" t="s">
        <v>2436</v>
      </c>
      <c r="F1328" s="243" t="str">
        <f ca="1">IF(OR(chk_INTER_state_in_final=10,chk_INTER_state_in_final=40),cst_wskakunin_koutei02_INTER_ISSUE_DATE,IF(chk_INTER_state_in_final=30,"",IF(chk_INTER_state_in_final=31,cst_wskakunin_koutei_izen01_INTER_ISSUE_DATE,IF(chk_INTER_state_in_final=32,cst_wskakunin_koutei_izen02_INTER_ISSUE_DATE,""))))</f>
        <v/>
      </c>
    </row>
    <row r="1329" spans="1:6" ht="15" customHeight="1">
      <c r="A1329" s="52"/>
      <c r="B1329" s="75"/>
    </row>
    <row r="1330" spans="1:6" ht="15" customHeight="1">
      <c r="A1330" s="176"/>
      <c r="B1330" s="175"/>
    </row>
    <row r="1331" spans="1:6" ht="15" customHeight="1">
      <c r="A1331" s="47" t="s">
        <v>2437</v>
      </c>
      <c r="B1331" s="47"/>
      <c r="C1331" s="15" t="s">
        <v>2438</v>
      </c>
      <c r="D1331" s="47"/>
      <c r="E1331" s="15" t="s">
        <v>2439</v>
      </c>
      <c r="F1331" s="47" t="str">
        <f>IF(shinsei_build_YOUTO="","",shinsei_build_YOUTO)</f>
        <v/>
      </c>
    </row>
  </sheetData>
  <mergeCells count="3">
    <mergeCell ref="A1058:B1058"/>
    <mergeCell ref="A999:A1001"/>
    <mergeCell ref="A1002:A1004"/>
  </mergeCells>
  <phoneticPr fontId="11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A1:H23"/>
  <sheetViews>
    <sheetView workbookViewId="0">
      <selection activeCell="G18" sqref="G18"/>
    </sheetView>
  </sheetViews>
  <sheetFormatPr defaultColWidth="9.125" defaultRowHeight="13.5"/>
  <cols>
    <col min="1" max="1" width="16.125" customWidth="1"/>
    <col min="4" max="4" width="16.875" style="392" customWidth="1"/>
    <col min="5" max="5" width="14.75" customWidth="1"/>
    <col min="6" max="7" width="24.875" customWidth="1"/>
    <col min="8" max="8" width="35.25" customWidth="1"/>
    <col min="257" max="257" width="16.125" customWidth="1"/>
    <col min="260" max="260" width="16.875" customWidth="1"/>
    <col min="261" max="261" width="14.75" customWidth="1"/>
    <col min="262" max="263" width="24.875" customWidth="1"/>
    <col min="264" max="264" width="35.25" customWidth="1"/>
    <col min="513" max="513" width="16.125" customWidth="1"/>
    <col min="516" max="516" width="16.875" customWidth="1"/>
    <col min="517" max="517" width="14.75" customWidth="1"/>
    <col min="518" max="519" width="24.875" customWidth="1"/>
    <col min="520" max="520" width="35.25" customWidth="1"/>
    <col min="769" max="769" width="16.125" customWidth="1"/>
    <col min="772" max="772" width="16.875" customWidth="1"/>
    <col min="773" max="773" width="14.75" customWidth="1"/>
    <col min="774" max="775" width="24.875" customWidth="1"/>
    <col min="776" max="776" width="35.25" customWidth="1"/>
    <col min="1025" max="1025" width="16.125" customWidth="1"/>
    <col min="1028" max="1028" width="16.875" customWidth="1"/>
    <col min="1029" max="1029" width="14.75" customWidth="1"/>
    <col min="1030" max="1031" width="24.875" customWidth="1"/>
    <col min="1032" max="1032" width="35.25" customWidth="1"/>
    <col min="1281" max="1281" width="16.125" customWidth="1"/>
    <col min="1284" max="1284" width="16.875" customWidth="1"/>
    <col min="1285" max="1285" width="14.75" customWidth="1"/>
    <col min="1286" max="1287" width="24.875" customWidth="1"/>
    <col min="1288" max="1288" width="35.25" customWidth="1"/>
    <col min="1537" max="1537" width="16.125" customWidth="1"/>
    <col min="1540" max="1540" width="16.875" customWidth="1"/>
    <col min="1541" max="1541" width="14.75" customWidth="1"/>
    <col min="1542" max="1543" width="24.875" customWidth="1"/>
    <col min="1544" max="1544" width="35.25" customWidth="1"/>
    <col min="1793" max="1793" width="16.125" customWidth="1"/>
    <col min="1796" max="1796" width="16.875" customWidth="1"/>
    <col min="1797" max="1797" width="14.75" customWidth="1"/>
    <col min="1798" max="1799" width="24.875" customWidth="1"/>
    <col min="1800" max="1800" width="35.25" customWidth="1"/>
    <col min="2049" max="2049" width="16.125" customWidth="1"/>
    <col min="2052" max="2052" width="16.875" customWidth="1"/>
    <col min="2053" max="2053" width="14.75" customWidth="1"/>
    <col min="2054" max="2055" width="24.875" customWidth="1"/>
    <col min="2056" max="2056" width="35.25" customWidth="1"/>
    <col min="2305" max="2305" width="16.125" customWidth="1"/>
    <col min="2308" max="2308" width="16.875" customWidth="1"/>
    <col min="2309" max="2309" width="14.75" customWidth="1"/>
    <col min="2310" max="2311" width="24.875" customWidth="1"/>
    <col min="2312" max="2312" width="35.25" customWidth="1"/>
    <col min="2561" max="2561" width="16.125" customWidth="1"/>
    <col min="2564" max="2564" width="16.875" customWidth="1"/>
    <col min="2565" max="2565" width="14.75" customWidth="1"/>
    <col min="2566" max="2567" width="24.875" customWidth="1"/>
    <col min="2568" max="2568" width="35.25" customWidth="1"/>
    <col min="2817" max="2817" width="16.125" customWidth="1"/>
    <col min="2820" max="2820" width="16.875" customWidth="1"/>
    <col min="2821" max="2821" width="14.75" customWidth="1"/>
    <col min="2822" max="2823" width="24.875" customWidth="1"/>
    <col min="2824" max="2824" width="35.25" customWidth="1"/>
    <col min="3073" max="3073" width="16.125" customWidth="1"/>
    <col min="3076" max="3076" width="16.875" customWidth="1"/>
    <col min="3077" max="3077" width="14.75" customWidth="1"/>
    <col min="3078" max="3079" width="24.875" customWidth="1"/>
    <col min="3080" max="3080" width="35.25" customWidth="1"/>
    <col min="3329" max="3329" width="16.125" customWidth="1"/>
    <col min="3332" max="3332" width="16.875" customWidth="1"/>
    <col min="3333" max="3333" width="14.75" customWidth="1"/>
    <col min="3334" max="3335" width="24.875" customWidth="1"/>
    <col min="3336" max="3336" width="35.25" customWidth="1"/>
    <col min="3585" max="3585" width="16.125" customWidth="1"/>
    <col min="3588" max="3588" width="16.875" customWidth="1"/>
    <col min="3589" max="3589" width="14.75" customWidth="1"/>
    <col min="3590" max="3591" width="24.875" customWidth="1"/>
    <col min="3592" max="3592" width="35.25" customWidth="1"/>
    <col min="3841" max="3841" width="16.125" customWidth="1"/>
    <col min="3844" max="3844" width="16.875" customWidth="1"/>
    <col min="3845" max="3845" width="14.75" customWidth="1"/>
    <col min="3846" max="3847" width="24.875" customWidth="1"/>
    <col min="3848" max="3848" width="35.25" customWidth="1"/>
    <col min="4097" max="4097" width="16.125" customWidth="1"/>
    <col min="4100" max="4100" width="16.875" customWidth="1"/>
    <col min="4101" max="4101" width="14.75" customWidth="1"/>
    <col min="4102" max="4103" width="24.875" customWidth="1"/>
    <col min="4104" max="4104" width="35.25" customWidth="1"/>
    <col min="4353" max="4353" width="16.125" customWidth="1"/>
    <col min="4356" max="4356" width="16.875" customWidth="1"/>
    <col min="4357" max="4357" width="14.75" customWidth="1"/>
    <col min="4358" max="4359" width="24.875" customWidth="1"/>
    <col min="4360" max="4360" width="35.25" customWidth="1"/>
    <col min="4609" max="4609" width="16.125" customWidth="1"/>
    <col min="4612" max="4612" width="16.875" customWidth="1"/>
    <col min="4613" max="4613" width="14.75" customWidth="1"/>
    <col min="4614" max="4615" width="24.875" customWidth="1"/>
    <col min="4616" max="4616" width="35.25" customWidth="1"/>
    <col min="4865" max="4865" width="16.125" customWidth="1"/>
    <col min="4868" max="4868" width="16.875" customWidth="1"/>
    <col min="4869" max="4869" width="14.75" customWidth="1"/>
    <col min="4870" max="4871" width="24.875" customWidth="1"/>
    <col min="4872" max="4872" width="35.25" customWidth="1"/>
    <col min="5121" max="5121" width="16.125" customWidth="1"/>
    <col min="5124" max="5124" width="16.875" customWidth="1"/>
    <col min="5125" max="5125" width="14.75" customWidth="1"/>
    <col min="5126" max="5127" width="24.875" customWidth="1"/>
    <col min="5128" max="5128" width="35.25" customWidth="1"/>
    <col min="5377" max="5377" width="16.125" customWidth="1"/>
    <col min="5380" max="5380" width="16.875" customWidth="1"/>
    <col min="5381" max="5381" width="14.75" customWidth="1"/>
    <col min="5382" max="5383" width="24.875" customWidth="1"/>
    <col min="5384" max="5384" width="35.25" customWidth="1"/>
    <col min="5633" max="5633" width="16.125" customWidth="1"/>
    <col min="5636" max="5636" width="16.875" customWidth="1"/>
    <col min="5637" max="5637" width="14.75" customWidth="1"/>
    <col min="5638" max="5639" width="24.875" customWidth="1"/>
    <col min="5640" max="5640" width="35.25" customWidth="1"/>
    <col min="5889" max="5889" width="16.125" customWidth="1"/>
    <col min="5892" max="5892" width="16.875" customWidth="1"/>
    <col min="5893" max="5893" width="14.75" customWidth="1"/>
    <col min="5894" max="5895" width="24.875" customWidth="1"/>
    <col min="5896" max="5896" width="35.25" customWidth="1"/>
    <col min="6145" max="6145" width="16.125" customWidth="1"/>
    <col min="6148" max="6148" width="16.875" customWidth="1"/>
    <col min="6149" max="6149" width="14.75" customWidth="1"/>
    <col min="6150" max="6151" width="24.875" customWidth="1"/>
    <col min="6152" max="6152" width="35.25" customWidth="1"/>
    <col min="6401" max="6401" width="16.125" customWidth="1"/>
    <col min="6404" max="6404" width="16.875" customWidth="1"/>
    <col min="6405" max="6405" width="14.75" customWidth="1"/>
    <col min="6406" max="6407" width="24.875" customWidth="1"/>
    <col min="6408" max="6408" width="35.25" customWidth="1"/>
    <col min="6657" max="6657" width="16.125" customWidth="1"/>
    <col min="6660" max="6660" width="16.875" customWidth="1"/>
    <col min="6661" max="6661" width="14.75" customWidth="1"/>
    <col min="6662" max="6663" width="24.875" customWidth="1"/>
    <col min="6664" max="6664" width="35.25" customWidth="1"/>
    <col min="6913" max="6913" width="16.125" customWidth="1"/>
    <col min="6916" max="6916" width="16.875" customWidth="1"/>
    <col min="6917" max="6917" width="14.75" customWidth="1"/>
    <col min="6918" max="6919" width="24.875" customWidth="1"/>
    <col min="6920" max="6920" width="35.25" customWidth="1"/>
    <col min="7169" max="7169" width="16.125" customWidth="1"/>
    <col min="7172" max="7172" width="16.875" customWidth="1"/>
    <col min="7173" max="7173" width="14.75" customWidth="1"/>
    <col min="7174" max="7175" width="24.875" customWidth="1"/>
    <col min="7176" max="7176" width="35.25" customWidth="1"/>
    <col min="7425" max="7425" width="16.125" customWidth="1"/>
    <col min="7428" max="7428" width="16.875" customWidth="1"/>
    <col min="7429" max="7429" width="14.75" customWidth="1"/>
    <col min="7430" max="7431" width="24.875" customWidth="1"/>
    <col min="7432" max="7432" width="35.25" customWidth="1"/>
    <col min="7681" max="7681" width="16.125" customWidth="1"/>
    <col min="7684" max="7684" width="16.875" customWidth="1"/>
    <col min="7685" max="7685" width="14.75" customWidth="1"/>
    <col min="7686" max="7687" width="24.875" customWidth="1"/>
    <col min="7688" max="7688" width="35.25" customWidth="1"/>
    <col min="7937" max="7937" width="16.125" customWidth="1"/>
    <col min="7940" max="7940" width="16.875" customWidth="1"/>
    <col min="7941" max="7941" width="14.75" customWidth="1"/>
    <col min="7942" max="7943" width="24.875" customWidth="1"/>
    <col min="7944" max="7944" width="35.25" customWidth="1"/>
    <col min="8193" max="8193" width="16.125" customWidth="1"/>
    <col min="8196" max="8196" width="16.875" customWidth="1"/>
    <col min="8197" max="8197" width="14.75" customWidth="1"/>
    <col min="8198" max="8199" width="24.875" customWidth="1"/>
    <col min="8200" max="8200" width="35.25" customWidth="1"/>
    <col min="8449" max="8449" width="16.125" customWidth="1"/>
    <col min="8452" max="8452" width="16.875" customWidth="1"/>
    <col min="8453" max="8453" width="14.75" customWidth="1"/>
    <col min="8454" max="8455" width="24.875" customWidth="1"/>
    <col min="8456" max="8456" width="35.25" customWidth="1"/>
    <col min="8705" max="8705" width="16.125" customWidth="1"/>
    <col min="8708" max="8708" width="16.875" customWidth="1"/>
    <col min="8709" max="8709" width="14.75" customWidth="1"/>
    <col min="8710" max="8711" width="24.875" customWidth="1"/>
    <col min="8712" max="8712" width="35.25" customWidth="1"/>
    <col min="8961" max="8961" width="16.125" customWidth="1"/>
    <col min="8964" max="8964" width="16.875" customWidth="1"/>
    <col min="8965" max="8965" width="14.75" customWidth="1"/>
    <col min="8966" max="8967" width="24.875" customWidth="1"/>
    <col min="8968" max="8968" width="35.25" customWidth="1"/>
    <col min="9217" max="9217" width="16.125" customWidth="1"/>
    <col min="9220" max="9220" width="16.875" customWidth="1"/>
    <col min="9221" max="9221" width="14.75" customWidth="1"/>
    <col min="9222" max="9223" width="24.875" customWidth="1"/>
    <col min="9224" max="9224" width="35.25" customWidth="1"/>
    <col min="9473" max="9473" width="16.125" customWidth="1"/>
    <col min="9476" max="9476" width="16.875" customWidth="1"/>
    <col min="9477" max="9477" width="14.75" customWidth="1"/>
    <col min="9478" max="9479" width="24.875" customWidth="1"/>
    <col min="9480" max="9480" width="35.25" customWidth="1"/>
    <col min="9729" max="9729" width="16.125" customWidth="1"/>
    <col min="9732" max="9732" width="16.875" customWidth="1"/>
    <col min="9733" max="9733" width="14.75" customWidth="1"/>
    <col min="9734" max="9735" width="24.875" customWidth="1"/>
    <col min="9736" max="9736" width="35.25" customWidth="1"/>
    <col min="9985" max="9985" width="16.125" customWidth="1"/>
    <col min="9988" max="9988" width="16.875" customWidth="1"/>
    <col min="9989" max="9989" width="14.75" customWidth="1"/>
    <col min="9990" max="9991" width="24.875" customWidth="1"/>
    <col min="9992" max="9992" width="35.25" customWidth="1"/>
    <col min="10241" max="10241" width="16.125" customWidth="1"/>
    <col min="10244" max="10244" width="16.875" customWidth="1"/>
    <col min="10245" max="10245" width="14.75" customWidth="1"/>
    <col min="10246" max="10247" width="24.875" customWidth="1"/>
    <col min="10248" max="10248" width="35.25" customWidth="1"/>
    <col min="10497" max="10497" width="16.125" customWidth="1"/>
    <col min="10500" max="10500" width="16.875" customWidth="1"/>
    <col min="10501" max="10501" width="14.75" customWidth="1"/>
    <col min="10502" max="10503" width="24.875" customWidth="1"/>
    <col min="10504" max="10504" width="35.25" customWidth="1"/>
    <col min="10753" max="10753" width="16.125" customWidth="1"/>
    <col min="10756" max="10756" width="16.875" customWidth="1"/>
    <col min="10757" max="10757" width="14.75" customWidth="1"/>
    <col min="10758" max="10759" width="24.875" customWidth="1"/>
    <col min="10760" max="10760" width="35.25" customWidth="1"/>
    <col min="11009" max="11009" width="16.125" customWidth="1"/>
    <col min="11012" max="11012" width="16.875" customWidth="1"/>
    <col min="11013" max="11013" width="14.75" customWidth="1"/>
    <col min="11014" max="11015" width="24.875" customWidth="1"/>
    <col min="11016" max="11016" width="35.25" customWidth="1"/>
    <col min="11265" max="11265" width="16.125" customWidth="1"/>
    <col min="11268" max="11268" width="16.875" customWidth="1"/>
    <col min="11269" max="11269" width="14.75" customWidth="1"/>
    <col min="11270" max="11271" width="24.875" customWidth="1"/>
    <col min="11272" max="11272" width="35.25" customWidth="1"/>
    <col min="11521" max="11521" width="16.125" customWidth="1"/>
    <col min="11524" max="11524" width="16.875" customWidth="1"/>
    <col min="11525" max="11525" width="14.75" customWidth="1"/>
    <col min="11526" max="11527" width="24.875" customWidth="1"/>
    <col min="11528" max="11528" width="35.25" customWidth="1"/>
    <col min="11777" max="11777" width="16.125" customWidth="1"/>
    <col min="11780" max="11780" width="16.875" customWidth="1"/>
    <col min="11781" max="11781" width="14.75" customWidth="1"/>
    <col min="11782" max="11783" width="24.875" customWidth="1"/>
    <col min="11784" max="11784" width="35.25" customWidth="1"/>
    <col min="12033" max="12033" width="16.125" customWidth="1"/>
    <col min="12036" max="12036" width="16.875" customWidth="1"/>
    <col min="12037" max="12037" width="14.75" customWidth="1"/>
    <col min="12038" max="12039" width="24.875" customWidth="1"/>
    <col min="12040" max="12040" width="35.25" customWidth="1"/>
    <col min="12289" max="12289" width="16.125" customWidth="1"/>
    <col min="12292" max="12292" width="16.875" customWidth="1"/>
    <col min="12293" max="12293" width="14.75" customWidth="1"/>
    <col min="12294" max="12295" width="24.875" customWidth="1"/>
    <col min="12296" max="12296" width="35.25" customWidth="1"/>
    <col min="12545" max="12545" width="16.125" customWidth="1"/>
    <col min="12548" max="12548" width="16.875" customWidth="1"/>
    <col min="12549" max="12549" width="14.75" customWidth="1"/>
    <col min="12550" max="12551" width="24.875" customWidth="1"/>
    <col min="12552" max="12552" width="35.25" customWidth="1"/>
    <col min="12801" max="12801" width="16.125" customWidth="1"/>
    <col min="12804" max="12804" width="16.875" customWidth="1"/>
    <col min="12805" max="12805" width="14.75" customWidth="1"/>
    <col min="12806" max="12807" width="24.875" customWidth="1"/>
    <col min="12808" max="12808" width="35.25" customWidth="1"/>
    <col min="13057" max="13057" width="16.125" customWidth="1"/>
    <col min="13060" max="13060" width="16.875" customWidth="1"/>
    <col min="13061" max="13061" width="14.75" customWidth="1"/>
    <col min="13062" max="13063" width="24.875" customWidth="1"/>
    <col min="13064" max="13064" width="35.25" customWidth="1"/>
    <col min="13313" max="13313" width="16.125" customWidth="1"/>
    <col min="13316" max="13316" width="16.875" customWidth="1"/>
    <col min="13317" max="13317" width="14.75" customWidth="1"/>
    <col min="13318" max="13319" width="24.875" customWidth="1"/>
    <col min="13320" max="13320" width="35.25" customWidth="1"/>
    <col min="13569" max="13569" width="16.125" customWidth="1"/>
    <col min="13572" max="13572" width="16.875" customWidth="1"/>
    <col min="13573" max="13573" width="14.75" customWidth="1"/>
    <col min="13574" max="13575" width="24.875" customWidth="1"/>
    <col min="13576" max="13576" width="35.25" customWidth="1"/>
    <col min="13825" max="13825" width="16.125" customWidth="1"/>
    <col min="13828" max="13828" width="16.875" customWidth="1"/>
    <col min="13829" max="13829" width="14.75" customWidth="1"/>
    <col min="13830" max="13831" width="24.875" customWidth="1"/>
    <col min="13832" max="13832" width="35.25" customWidth="1"/>
    <col min="14081" max="14081" width="16.125" customWidth="1"/>
    <col min="14084" max="14084" width="16.875" customWidth="1"/>
    <col min="14085" max="14085" width="14.75" customWidth="1"/>
    <col min="14086" max="14087" width="24.875" customWidth="1"/>
    <col min="14088" max="14088" width="35.25" customWidth="1"/>
    <col min="14337" max="14337" width="16.125" customWidth="1"/>
    <col min="14340" max="14340" width="16.875" customWidth="1"/>
    <col min="14341" max="14341" width="14.75" customWidth="1"/>
    <col min="14342" max="14343" width="24.875" customWidth="1"/>
    <col min="14344" max="14344" width="35.25" customWidth="1"/>
    <col min="14593" max="14593" width="16.125" customWidth="1"/>
    <col min="14596" max="14596" width="16.875" customWidth="1"/>
    <col min="14597" max="14597" width="14.75" customWidth="1"/>
    <col min="14598" max="14599" width="24.875" customWidth="1"/>
    <col min="14600" max="14600" width="35.25" customWidth="1"/>
    <col min="14849" max="14849" width="16.125" customWidth="1"/>
    <col min="14852" max="14852" width="16.875" customWidth="1"/>
    <col min="14853" max="14853" width="14.75" customWidth="1"/>
    <col min="14854" max="14855" width="24.875" customWidth="1"/>
    <col min="14856" max="14856" width="35.25" customWidth="1"/>
    <col min="15105" max="15105" width="16.125" customWidth="1"/>
    <col min="15108" max="15108" width="16.875" customWidth="1"/>
    <col min="15109" max="15109" width="14.75" customWidth="1"/>
    <col min="15110" max="15111" width="24.875" customWidth="1"/>
    <col min="15112" max="15112" width="35.25" customWidth="1"/>
    <col min="15361" max="15361" width="16.125" customWidth="1"/>
    <col min="15364" max="15364" width="16.875" customWidth="1"/>
    <col min="15365" max="15365" width="14.75" customWidth="1"/>
    <col min="15366" max="15367" width="24.875" customWidth="1"/>
    <col min="15368" max="15368" width="35.25" customWidth="1"/>
    <col min="15617" max="15617" width="16.125" customWidth="1"/>
    <col min="15620" max="15620" width="16.875" customWidth="1"/>
    <col min="15621" max="15621" width="14.75" customWidth="1"/>
    <col min="15622" max="15623" width="24.875" customWidth="1"/>
    <col min="15624" max="15624" width="35.25" customWidth="1"/>
    <col min="15873" max="15873" width="16.125" customWidth="1"/>
    <col min="15876" max="15876" width="16.875" customWidth="1"/>
    <col min="15877" max="15877" width="14.75" customWidth="1"/>
    <col min="15878" max="15879" width="24.875" customWidth="1"/>
    <col min="15880" max="15880" width="35.25" customWidth="1"/>
    <col min="16129" max="16129" width="16.125" customWidth="1"/>
    <col min="16132" max="16132" width="16.875" customWidth="1"/>
    <col min="16133" max="16133" width="14.75" customWidth="1"/>
    <col min="16134" max="16135" width="24.875" customWidth="1"/>
    <col min="16136" max="16136" width="35.25" customWidth="1"/>
  </cols>
  <sheetData>
    <row r="1" spans="1:8">
      <c r="A1" s="15" t="s">
        <v>2440</v>
      </c>
      <c r="B1" s="15"/>
      <c r="C1" s="15"/>
      <c r="D1" s="396"/>
      <c r="E1" s="15"/>
      <c r="F1" s="15"/>
      <c r="G1" s="15"/>
    </row>
    <row r="2" spans="1:8">
      <c r="A2" s="395" t="s">
        <v>2441</v>
      </c>
      <c r="B2" s="395"/>
      <c r="C2" s="395" t="s">
        <v>2442</v>
      </c>
      <c r="D2" s="394" t="s">
        <v>2443</v>
      </c>
      <c r="E2" s="395" t="s">
        <v>2444</v>
      </c>
      <c r="F2" s="395" t="s">
        <v>235</v>
      </c>
      <c r="G2" s="395" t="s">
        <v>2445</v>
      </c>
      <c r="H2" s="172" t="s">
        <v>2446</v>
      </c>
    </row>
    <row r="3" spans="1:8">
      <c r="A3" s="395" t="s">
        <v>2447</v>
      </c>
      <c r="B3" s="395"/>
      <c r="C3" s="395">
        <v>1</v>
      </c>
      <c r="D3" s="394">
        <v>23132</v>
      </c>
      <c r="E3" s="395"/>
      <c r="F3" s="393" t="s">
        <v>206</v>
      </c>
      <c r="G3" s="395" t="s">
        <v>2448</v>
      </c>
      <c r="H3" s="172"/>
    </row>
    <row r="4" spans="1:8">
      <c r="A4" s="395"/>
      <c r="B4" s="395"/>
      <c r="C4" s="395">
        <v>2</v>
      </c>
      <c r="D4" s="394">
        <v>41091</v>
      </c>
      <c r="E4" s="395"/>
      <c r="F4" s="393" t="s">
        <v>206</v>
      </c>
      <c r="G4" s="395" t="s">
        <v>2448</v>
      </c>
      <c r="H4" s="172"/>
    </row>
    <row r="5" spans="1:8">
      <c r="A5" s="395"/>
      <c r="B5" s="395"/>
      <c r="C5" s="395">
        <v>3</v>
      </c>
      <c r="D5" s="394"/>
      <c r="E5" s="395"/>
      <c r="F5" s="393"/>
      <c r="G5" s="395"/>
    </row>
    <row r="6" spans="1:8">
      <c r="A6" s="395"/>
      <c r="B6" s="395"/>
      <c r="C6" s="395">
        <v>4</v>
      </c>
      <c r="D6" s="394"/>
      <c r="E6" s="395"/>
      <c r="F6" s="393"/>
      <c r="G6" s="395"/>
    </row>
    <row r="7" spans="1:8">
      <c r="A7" s="395"/>
      <c r="B7" s="395"/>
      <c r="C7" s="395">
        <v>5</v>
      </c>
      <c r="D7" s="394"/>
      <c r="E7" s="395"/>
      <c r="F7" s="393"/>
      <c r="G7" s="395"/>
    </row>
    <row r="8" spans="1:8">
      <c r="A8" s="395"/>
      <c r="B8" s="395"/>
      <c r="C8" s="395">
        <v>6</v>
      </c>
      <c r="D8" s="394"/>
      <c r="E8" s="395"/>
      <c r="F8" s="393"/>
      <c r="G8" s="395"/>
    </row>
    <row r="9" spans="1:8">
      <c r="A9" s="395"/>
      <c r="B9" s="395"/>
      <c r="C9" s="395">
        <v>7</v>
      </c>
      <c r="D9" s="394"/>
      <c r="E9" s="395"/>
      <c r="F9" s="393"/>
      <c r="G9" s="395"/>
    </row>
    <row r="10" spans="1:8">
      <c r="A10" s="395"/>
      <c r="B10" s="395"/>
      <c r="C10" s="395">
        <v>8</v>
      </c>
      <c r="D10" s="394"/>
      <c r="E10" s="395"/>
      <c r="F10" s="393"/>
      <c r="G10" s="395"/>
    </row>
    <row r="11" spans="1:8">
      <c r="A11" s="395"/>
      <c r="B11" s="395"/>
      <c r="C11" s="395">
        <v>9</v>
      </c>
      <c r="D11" s="394"/>
      <c r="E11" s="395"/>
      <c r="F11" s="393"/>
      <c r="G11" s="395"/>
    </row>
    <row r="12" spans="1:8">
      <c r="A12" s="395"/>
      <c r="B12" s="395"/>
      <c r="C12" s="395">
        <v>10</v>
      </c>
      <c r="D12" s="394"/>
      <c r="E12" s="395"/>
      <c r="F12" s="393"/>
      <c r="G12" s="395"/>
    </row>
    <row r="16" spans="1:8">
      <c r="A16" s="391" t="s">
        <v>2449</v>
      </c>
      <c r="B16" s="390"/>
      <c r="C16" s="390"/>
      <c r="D16" s="389"/>
      <c r="E16" s="391" t="s">
        <v>2450</v>
      </c>
      <c r="F16" s="390"/>
      <c r="G16" s="388"/>
    </row>
    <row r="17" spans="1:8">
      <c r="A17" s="171" t="s">
        <v>2451</v>
      </c>
      <c r="B17" s="397" t="s">
        <v>2452</v>
      </c>
      <c r="C17" s="171" t="s">
        <v>2453</v>
      </c>
      <c r="D17" s="398" t="s">
        <v>54</v>
      </c>
      <c r="E17" s="171" t="s">
        <v>2444</v>
      </c>
      <c r="F17" s="171" t="s">
        <v>235</v>
      </c>
      <c r="G17" s="171" t="s">
        <v>2445</v>
      </c>
      <c r="H17" t="s">
        <v>2454</v>
      </c>
    </row>
    <row r="18" spans="1:8">
      <c r="A18" s="399" t="s">
        <v>2455</v>
      </c>
      <c r="B18" s="399">
        <f ca="1">C18</f>
        <v>2</v>
      </c>
      <c r="C18" s="399">
        <f ca="1">IF(ISNA(MATCH(D18,$D$3:$D$12,0)),MATCH(D18,$D$3:$D$12,1),MATCH(D18,$D$3:$D$12,0))</f>
        <v>2</v>
      </c>
      <c r="D18" s="400">
        <f ca="1">TODAY()</f>
        <v>45636</v>
      </c>
      <c r="E18" s="401" t="str">
        <f ca="1">IF(OFFSET(dAName!$E$2,dAName!B18,0,1,1)="","",OFFSET(dAName!$E$2,dAName!B18,0,1,1))</f>
        <v/>
      </c>
      <c r="F18" s="401" t="str">
        <f ca="1">IF(OFFSET(dAName!$F$2,dAName!$B18,0,1,1)="","",OFFSET(dAName!$F$2,dAName!$B18,0,1,1))</f>
        <v>株式会社愛知建築センター</v>
      </c>
      <c r="G18" s="401" t="str">
        <f ca="1">IF(OFFSET(dAName!$G$2,dAName!$B18,0,1,1)="","",OFFSET(dAName!$G$2,dAName!$B18,0,1,1))</f>
        <v>代表取締役　鳥居　敏夫</v>
      </c>
      <c r="H18" s="402" t="str">
        <f ca="1">IF(OFFSET(dAName!$H$2,dAName!$B18,0,1,1)="","",OFFSET(dAName!$H$2,dAName!$B18,0,1,1))</f>
        <v/>
      </c>
    </row>
    <row r="19" spans="1:8">
      <c r="A19" s="399"/>
      <c r="B19" s="399"/>
      <c r="C19" s="399"/>
      <c r="D19" s="400"/>
      <c r="E19" s="399"/>
      <c r="F19" s="399"/>
      <c r="G19" s="399"/>
    </row>
    <row r="23" spans="1:8">
      <c r="E23" s="403"/>
    </row>
  </sheetData>
  <phoneticPr fontId="11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3:J29"/>
  <sheetViews>
    <sheetView workbookViewId="0">
      <selection activeCell="L17" sqref="L17"/>
    </sheetView>
  </sheetViews>
  <sheetFormatPr defaultColWidth="9" defaultRowHeight="15" customHeight="1"/>
  <cols>
    <col min="1" max="5" width="2.625" style="15" customWidth="1"/>
    <col min="6" max="7" width="10.625" style="15" customWidth="1"/>
    <col min="8" max="8" width="18.375" style="15" customWidth="1"/>
    <col min="9" max="12" width="20.625" style="15" customWidth="1"/>
    <col min="13" max="13" width="9" style="15" customWidth="1"/>
    <col min="14" max="16384" width="9" style="15"/>
  </cols>
  <sheetData>
    <row r="3" spans="1:9" ht="15" customHeight="1">
      <c r="A3" s="15" t="s">
        <v>136</v>
      </c>
    </row>
    <row r="4" spans="1:9" ht="15" customHeight="1">
      <c r="H4" s="124" t="s">
        <v>2456</v>
      </c>
      <c r="I4" s="120" t="s">
        <v>2457</v>
      </c>
    </row>
    <row r="5" spans="1:9" ht="15" customHeight="1">
      <c r="H5" s="117">
        <v>0</v>
      </c>
      <c r="I5" s="121" t="s">
        <v>2458</v>
      </c>
    </row>
    <row r="6" spans="1:9" ht="15" customHeight="1">
      <c r="H6" s="118">
        <v>100</v>
      </c>
      <c r="I6" s="122" t="s">
        <v>2459</v>
      </c>
    </row>
    <row r="7" spans="1:9" ht="15" customHeight="1">
      <c r="H7" s="118">
        <v>200</v>
      </c>
      <c r="I7" s="122" t="s">
        <v>2460</v>
      </c>
    </row>
    <row r="8" spans="1:9" ht="15" customHeight="1">
      <c r="H8" s="118">
        <v>300</v>
      </c>
      <c r="I8" s="122" t="s">
        <v>2461</v>
      </c>
    </row>
    <row r="9" spans="1:9" ht="15" customHeight="1">
      <c r="H9" s="119" t="s">
        <v>2462</v>
      </c>
      <c r="I9" s="123"/>
    </row>
    <row r="12" spans="1:9" ht="15" customHeight="1">
      <c r="A12" s="15" t="s">
        <v>136</v>
      </c>
    </row>
    <row r="13" spans="1:9" ht="15" customHeight="1">
      <c r="H13" s="124" t="s">
        <v>2463</v>
      </c>
      <c r="I13" s="120" t="s">
        <v>2464</v>
      </c>
    </row>
    <row r="14" spans="1:9" ht="15" customHeight="1">
      <c r="H14" s="117">
        <v>1</v>
      </c>
      <c r="I14" s="121" t="s">
        <v>130</v>
      </c>
    </row>
    <row r="15" spans="1:9" ht="15" customHeight="1">
      <c r="H15" s="118">
        <v>2</v>
      </c>
      <c r="I15" s="122" t="s">
        <v>141</v>
      </c>
    </row>
    <row r="16" spans="1:9" ht="15" customHeight="1">
      <c r="H16" s="118">
        <v>3</v>
      </c>
      <c r="I16" s="122" t="s">
        <v>2465</v>
      </c>
    </row>
    <row r="17" spans="1:10" ht="15" customHeight="1">
      <c r="H17" s="118">
        <v>4</v>
      </c>
      <c r="I17" s="122" t="s">
        <v>2466</v>
      </c>
    </row>
    <row r="18" spans="1:10" ht="15" customHeight="1">
      <c r="H18" s="118">
        <v>5</v>
      </c>
      <c r="I18" s="122" t="s">
        <v>2467</v>
      </c>
    </row>
    <row r="19" spans="1:10" ht="15" customHeight="1">
      <c r="H19" s="119" t="s">
        <v>2462</v>
      </c>
      <c r="I19" s="123"/>
    </row>
    <row r="21" spans="1:10" ht="15" customHeight="1">
      <c r="H21" s="57"/>
    </row>
    <row r="22" spans="1:10" ht="15" customHeight="1">
      <c r="A22" s="15" t="s">
        <v>145</v>
      </c>
    </row>
    <row r="23" spans="1:10" ht="15" customHeight="1">
      <c r="H23" s="124" t="s">
        <v>2468</v>
      </c>
      <c r="I23" s="120" t="s">
        <v>2469</v>
      </c>
      <c r="J23" s="174" t="s">
        <v>2459</v>
      </c>
    </row>
    <row r="24" spans="1:10" ht="15" customHeight="1">
      <c r="H24" s="117">
        <v>101</v>
      </c>
      <c r="I24" s="126" t="s">
        <v>2470</v>
      </c>
      <c r="J24" s="171">
        <v>1</v>
      </c>
    </row>
    <row r="25" spans="1:10" ht="15" customHeight="1">
      <c r="H25" s="118">
        <v>102</v>
      </c>
      <c r="I25" s="127" t="s">
        <v>2471</v>
      </c>
      <c r="J25" s="172">
        <v>1</v>
      </c>
    </row>
    <row r="26" spans="1:10" ht="15" customHeight="1">
      <c r="H26" s="118">
        <v>103</v>
      </c>
      <c r="I26" s="127" t="s">
        <v>2472</v>
      </c>
      <c r="J26" s="172">
        <v>3</v>
      </c>
    </row>
    <row r="27" spans="1:10" ht="15" customHeight="1">
      <c r="H27" s="118">
        <v>104</v>
      </c>
      <c r="I27" s="127" t="s">
        <v>2473</v>
      </c>
      <c r="J27" s="172">
        <v>4</v>
      </c>
    </row>
    <row r="28" spans="1:10" ht="15" customHeight="1">
      <c r="H28" s="118">
        <v>999</v>
      </c>
      <c r="I28" s="127" t="s">
        <v>2474</v>
      </c>
      <c r="J28" s="172"/>
    </row>
    <row r="29" spans="1:10" ht="15" customHeight="1">
      <c r="H29" s="125" t="s">
        <v>2462</v>
      </c>
      <c r="I29" s="128"/>
      <c r="J29" s="173"/>
    </row>
  </sheetData>
  <phoneticPr fontId="11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AV74"/>
  <sheetViews>
    <sheetView topLeftCell="AC1" workbookViewId="0">
      <pane ySplit="2" topLeftCell="A3" activePane="bottomLeft" state="frozen"/>
      <selection pane="bottomLeft" activeCell="AE2" sqref="AE2"/>
    </sheetView>
  </sheetViews>
  <sheetFormatPr defaultColWidth="9" defaultRowHeight="13.5"/>
  <cols>
    <col min="1" max="1" width="7.125" bestFit="1" customWidth="1"/>
    <col min="2" max="2" width="6.125" customWidth="1"/>
    <col min="3" max="3" width="5.25" customWidth="1"/>
    <col min="4" max="4" width="4.875" customWidth="1"/>
    <col min="5" max="22" width="5.875" customWidth="1"/>
    <col min="23" max="23" width="5.625" customWidth="1"/>
    <col min="24" max="30" width="5.875" customWidth="1"/>
    <col min="31" max="31" width="12" customWidth="1"/>
    <col min="32" max="32" width="10" customWidth="1"/>
    <col min="33" max="33" width="9" style="3" customWidth="1"/>
    <col min="34" max="34" width="23.875" customWidth="1"/>
    <col min="35" max="35" width="7.375" style="3" customWidth="1"/>
    <col min="37" max="37" width="9" style="3" customWidth="1"/>
    <col min="41" max="41" width="8" customWidth="1"/>
    <col min="42" max="42" width="6.75" customWidth="1"/>
  </cols>
  <sheetData>
    <row r="1" spans="1:48">
      <c r="A1" t="s">
        <v>2475</v>
      </c>
      <c r="E1" t="s">
        <v>1833</v>
      </c>
      <c r="R1" t="s">
        <v>2476</v>
      </c>
      <c r="AO1" t="s">
        <v>2477</v>
      </c>
      <c r="AQ1" t="s">
        <v>2478</v>
      </c>
    </row>
    <row r="2" spans="1:48">
      <c r="A2" s="4" t="s">
        <v>2479</v>
      </c>
      <c r="B2" s="4" t="s">
        <v>2480</v>
      </c>
      <c r="C2" s="4" t="s">
        <v>2481</v>
      </c>
      <c r="D2" s="4" t="s">
        <v>1491</v>
      </c>
      <c r="E2" s="5" t="s">
        <v>2482</v>
      </c>
      <c r="F2" s="5" t="s">
        <v>2483</v>
      </c>
      <c r="G2" s="5" t="s">
        <v>2484</v>
      </c>
      <c r="H2" s="5" t="s">
        <v>2485</v>
      </c>
      <c r="I2" s="5" t="s">
        <v>2486</v>
      </c>
      <c r="J2" s="5" t="s">
        <v>2487</v>
      </c>
      <c r="K2" s="5" t="s">
        <v>2488</v>
      </c>
      <c r="L2" s="5" t="s">
        <v>2489</v>
      </c>
      <c r="M2" s="5" t="s">
        <v>2490</v>
      </c>
      <c r="N2" s="5" t="s">
        <v>2491</v>
      </c>
      <c r="O2" s="5" t="s">
        <v>2492</v>
      </c>
      <c r="P2" s="5" t="s">
        <v>2493</v>
      </c>
      <c r="Q2" s="5" t="s">
        <v>1777</v>
      </c>
      <c r="R2" s="6" t="s">
        <v>2482</v>
      </c>
      <c r="S2" s="6" t="s">
        <v>2483</v>
      </c>
      <c r="T2" s="6" t="s">
        <v>2484</v>
      </c>
      <c r="U2" s="6" t="s">
        <v>2485</v>
      </c>
      <c r="V2" s="6" t="s">
        <v>2486</v>
      </c>
      <c r="W2" s="6" t="s">
        <v>2487</v>
      </c>
      <c r="X2" s="6" t="s">
        <v>2488</v>
      </c>
      <c r="Y2" s="6" t="s">
        <v>2489</v>
      </c>
      <c r="Z2" s="6" t="s">
        <v>2490</v>
      </c>
      <c r="AA2" s="6" t="s">
        <v>2491</v>
      </c>
      <c r="AB2" s="6" t="s">
        <v>2492</v>
      </c>
      <c r="AC2" s="6" t="s">
        <v>2493</v>
      </c>
      <c r="AD2" s="6" t="s">
        <v>1777</v>
      </c>
      <c r="AE2" s="4" t="s">
        <v>1819</v>
      </c>
      <c r="AF2" s="4" t="s">
        <v>2494</v>
      </c>
      <c r="AG2" s="4" t="s">
        <v>2495</v>
      </c>
      <c r="AH2" s="4" t="s">
        <v>2496</v>
      </c>
      <c r="AI2" s="4" t="s">
        <v>2497</v>
      </c>
      <c r="AJ2" s="4" t="s">
        <v>2498</v>
      </c>
      <c r="AK2" s="4" t="s">
        <v>2499</v>
      </c>
      <c r="AL2" s="4" t="s">
        <v>2500</v>
      </c>
      <c r="AM2" s="4" t="s">
        <v>2501</v>
      </c>
      <c r="AN2" s="4" t="s">
        <v>2502</v>
      </c>
      <c r="AO2" s="5" t="s">
        <v>1666</v>
      </c>
      <c r="AP2" s="5" t="s">
        <v>1666</v>
      </c>
      <c r="AQ2" s="628" t="s">
        <v>1666</v>
      </c>
      <c r="AR2" s="628" t="s">
        <v>1666</v>
      </c>
      <c r="AS2" s="628" t="s">
        <v>2503</v>
      </c>
      <c r="AT2" s="628" t="s">
        <v>2504</v>
      </c>
      <c r="AU2" s="628" t="s">
        <v>2505</v>
      </c>
      <c r="AV2" s="628" t="s">
        <v>1695</v>
      </c>
    </row>
    <row r="3" spans="1:48">
      <c r="A3" t="s">
        <v>2506</v>
      </c>
      <c r="B3" t="s">
        <v>2507</v>
      </c>
      <c r="C3" t="s">
        <v>2507</v>
      </c>
      <c r="D3" t="s">
        <v>2508</v>
      </c>
      <c r="E3">
        <v>0.5</v>
      </c>
      <c r="F3">
        <v>0.5</v>
      </c>
      <c r="G3">
        <v>1</v>
      </c>
      <c r="H3">
        <v>1</v>
      </c>
      <c r="I3">
        <v>1</v>
      </c>
      <c r="J3">
        <v>1</v>
      </c>
      <c r="K3">
        <v>1</v>
      </c>
      <c r="L3">
        <v>1</v>
      </c>
      <c r="M3">
        <v>2</v>
      </c>
      <c r="N3">
        <v>1</v>
      </c>
      <c r="O3">
        <v>1</v>
      </c>
      <c r="P3">
        <v>1</v>
      </c>
      <c r="Q3">
        <v>0.5</v>
      </c>
      <c r="R3">
        <v>0.3</v>
      </c>
      <c r="S3">
        <v>0.3</v>
      </c>
      <c r="T3">
        <v>0.3</v>
      </c>
      <c r="U3">
        <v>0.3</v>
      </c>
      <c r="V3">
        <v>0.5</v>
      </c>
      <c r="W3">
        <v>0.5</v>
      </c>
      <c r="X3">
        <v>0.5</v>
      </c>
      <c r="Y3">
        <v>0.6</v>
      </c>
      <c r="Z3">
        <v>0.8</v>
      </c>
      <c r="AA3">
        <v>0.5</v>
      </c>
      <c r="AB3">
        <v>0.5</v>
      </c>
      <c r="AC3">
        <v>0.3</v>
      </c>
      <c r="AD3">
        <v>0.3</v>
      </c>
      <c r="AE3" t="s">
        <v>2482</v>
      </c>
      <c r="AF3" t="s">
        <v>2481</v>
      </c>
      <c r="AG3" s="3" t="s">
        <v>2509</v>
      </c>
      <c r="AH3" t="s">
        <v>2510</v>
      </c>
      <c r="AI3" s="3" t="s">
        <v>2511</v>
      </c>
      <c r="AJ3" t="s">
        <v>2512</v>
      </c>
      <c r="AK3" s="3" t="s">
        <v>2513</v>
      </c>
      <c r="AL3" t="s">
        <v>2514</v>
      </c>
      <c r="AM3" s="3" t="s">
        <v>2501</v>
      </c>
      <c r="AN3" t="s">
        <v>2515</v>
      </c>
      <c r="AO3" s="3" t="s">
        <v>2516</v>
      </c>
      <c r="AP3" t="s">
        <v>2517</v>
      </c>
      <c r="AQ3" t="s">
        <v>2516</v>
      </c>
      <c r="AR3" t="s">
        <v>2518</v>
      </c>
      <c r="AS3" t="s">
        <v>2509</v>
      </c>
      <c r="AT3" t="s">
        <v>2510</v>
      </c>
      <c r="AU3" t="s">
        <v>2516</v>
      </c>
      <c r="AV3" t="s">
        <v>2481</v>
      </c>
    </row>
    <row r="4" spans="1:48">
      <c r="B4" t="s">
        <v>2519</v>
      </c>
      <c r="C4" t="s">
        <v>2519</v>
      </c>
      <c r="D4" t="s">
        <v>2506</v>
      </c>
      <c r="E4">
        <v>0.6</v>
      </c>
      <c r="F4">
        <v>0.6</v>
      </c>
      <c r="G4">
        <v>1.5</v>
      </c>
      <c r="H4">
        <v>1.5</v>
      </c>
      <c r="I4">
        <v>1.5</v>
      </c>
      <c r="J4">
        <v>1.5</v>
      </c>
      <c r="K4">
        <v>1.5</v>
      </c>
      <c r="L4">
        <v>1.5</v>
      </c>
      <c r="M4">
        <v>3</v>
      </c>
      <c r="N4">
        <v>1.5</v>
      </c>
      <c r="O4">
        <v>1.5</v>
      </c>
      <c r="P4">
        <v>1.5</v>
      </c>
      <c r="Q4">
        <v>0.8</v>
      </c>
      <c r="R4">
        <v>0.4</v>
      </c>
      <c r="S4">
        <v>0.4</v>
      </c>
      <c r="T4">
        <v>0.4</v>
      </c>
      <c r="U4">
        <v>0.4</v>
      </c>
      <c r="V4">
        <v>0.6</v>
      </c>
      <c r="W4">
        <v>0.6</v>
      </c>
      <c r="X4">
        <v>0.6</v>
      </c>
      <c r="Y4">
        <v>0.8</v>
      </c>
      <c r="AA4">
        <v>0.6</v>
      </c>
      <c r="AB4">
        <v>0.6</v>
      </c>
      <c r="AC4">
        <v>0.4</v>
      </c>
      <c r="AD4">
        <v>0.4</v>
      </c>
      <c r="AE4" t="s">
        <v>2483</v>
      </c>
      <c r="AF4" t="s">
        <v>2520</v>
      </c>
      <c r="AG4" s="3" t="s">
        <v>2521</v>
      </c>
      <c r="AH4" t="s">
        <v>2522</v>
      </c>
      <c r="AI4" s="3" t="s">
        <v>2523</v>
      </c>
      <c r="AJ4" t="s">
        <v>2524</v>
      </c>
      <c r="AK4" s="3" t="s">
        <v>2525</v>
      </c>
      <c r="AL4" t="s">
        <v>2526</v>
      </c>
      <c r="AM4" s="3" t="s">
        <v>2527</v>
      </c>
      <c r="AN4" t="s">
        <v>2528</v>
      </c>
      <c r="AO4" s="3" t="s">
        <v>2529</v>
      </c>
      <c r="AP4" t="s">
        <v>2530</v>
      </c>
      <c r="AQ4" t="s">
        <v>2529</v>
      </c>
      <c r="AR4" t="s">
        <v>2531</v>
      </c>
      <c r="AS4" t="s">
        <v>2521</v>
      </c>
      <c r="AT4" t="s">
        <v>2522</v>
      </c>
      <c r="AU4" t="s">
        <v>2529</v>
      </c>
      <c r="AV4" t="s">
        <v>2532</v>
      </c>
    </row>
    <row r="5" spans="1:48">
      <c r="B5" t="s">
        <v>2533</v>
      </c>
      <c r="C5" t="s">
        <v>2533</v>
      </c>
      <c r="D5" t="s">
        <v>2507</v>
      </c>
      <c r="E5">
        <v>0.8</v>
      </c>
      <c r="F5">
        <v>0.8</v>
      </c>
      <c r="G5">
        <v>2</v>
      </c>
      <c r="H5">
        <v>2</v>
      </c>
      <c r="I5">
        <v>2</v>
      </c>
      <c r="J5">
        <v>2</v>
      </c>
      <c r="K5">
        <v>2</v>
      </c>
      <c r="L5">
        <v>2</v>
      </c>
      <c r="M5">
        <v>4</v>
      </c>
      <c r="N5">
        <v>2</v>
      </c>
      <c r="O5">
        <v>2</v>
      </c>
      <c r="P5">
        <v>2</v>
      </c>
      <c r="Q5">
        <v>1</v>
      </c>
      <c r="R5">
        <v>0.5</v>
      </c>
      <c r="S5">
        <v>0.5</v>
      </c>
      <c r="T5">
        <v>0.5</v>
      </c>
      <c r="U5">
        <v>0.5</v>
      </c>
      <c r="V5">
        <v>0.8</v>
      </c>
      <c r="W5">
        <v>0.8</v>
      </c>
      <c r="X5">
        <v>0.8</v>
      </c>
      <c r="AA5">
        <v>0.8</v>
      </c>
      <c r="AC5">
        <v>0.5</v>
      </c>
      <c r="AD5">
        <v>0.5</v>
      </c>
      <c r="AE5" t="s">
        <v>2484</v>
      </c>
      <c r="AF5" t="s">
        <v>2534</v>
      </c>
      <c r="AG5" s="3" t="s">
        <v>2535</v>
      </c>
      <c r="AH5" t="s">
        <v>2536</v>
      </c>
      <c r="AI5" s="3" t="s">
        <v>2537</v>
      </c>
      <c r="AJ5" t="s">
        <v>2538</v>
      </c>
      <c r="AK5" s="3" t="s">
        <v>2539</v>
      </c>
      <c r="AL5" t="s">
        <v>2540</v>
      </c>
      <c r="AM5" s="3" t="s">
        <v>2541</v>
      </c>
      <c r="AN5" t="s">
        <v>2542</v>
      </c>
      <c r="AO5" s="3" t="s">
        <v>2543</v>
      </c>
      <c r="AP5" t="s">
        <v>2544</v>
      </c>
      <c r="AQ5">
        <v>10</v>
      </c>
      <c r="AR5" t="s">
        <v>2545</v>
      </c>
      <c r="AS5" t="s">
        <v>2535</v>
      </c>
      <c r="AT5" t="s">
        <v>2536</v>
      </c>
      <c r="AU5" t="s">
        <v>2543</v>
      </c>
      <c r="AV5" t="s">
        <v>2546</v>
      </c>
    </row>
    <row r="6" spans="1:48">
      <c r="B6" t="s">
        <v>2547</v>
      </c>
      <c r="C6" t="s">
        <v>2547</v>
      </c>
      <c r="D6" t="s">
        <v>2519</v>
      </c>
      <c r="E6">
        <v>1</v>
      </c>
      <c r="F6">
        <v>1</v>
      </c>
      <c r="G6">
        <v>3</v>
      </c>
      <c r="H6">
        <v>3</v>
      </c>
      <c r="I6">
        <v>3</v>
      </c>
      <c r="J6">
        <v>3</v>
      </c>
      <c r="K6">
        <v>3</v>
      </c>
      <c r="L6">
        <v>3</v>
      </c>
      <c r="M6">
        <v>5</v>
      </c>
      <c r="N6">
        <v>3</v>
      </c>
      <c r="O6">
        <v>3</v>
      </c>
      <c r="P6">
        <v>3</v>
      </c>
      <c r="Q6">
        <v>2</v>
      </c>
      <c r="R6">
        <v>0.6</v>
      </c>
      <c r="S6">
        <v>0.6</v>
      </c>
      <c r="T6">
        <v>0.6</v>
      </c>
      <c r="U6">
        <v>0.6</v>
      </c>
      <c r="AC6">
        <v>0.6</v>
      </c>
      <c r="AD6">
        <v>0.6</v>
      </c>
      <c r="AE6" t="s">
        <v>2485</v>
      </c>
      <c r="AF6" t="s">
        <v>2548</v>
      </c>
      <c r="AG6" s="3" t="s">
        <v>2549</v>
      </c>
      <c r="AH6" t="s">
        <v>2550</v>
      </c>
      <c r="AI6" s="3" t="s">
        <v>2551</v>
      </c>
      <c r="AJ6" t="s">
        <v>2552</v>
      </c>
      <c r="AK6" s="3" t="s">
        <v>2553</v>
      </c>
      <c r="AL6" t="s">
        <v>2554</v>
      </c>
      <c r="AM6" s="3" t="s">
        <v>2555</v>
      </c>
      <c r="AO6" s="3" t="s">
        <v>2556</v>
      </c>
      <c r="AP6" t="s">
        <v>2557</v>
      </c>
      <c r="AQ6">
        <v>11</v>
      </c>
      <c r="AR6" t="s">
        <v>2558</v>
      </c>
      <c r="AS6" t="s">
        <v>2549</v>
      </c>
      <c r="AT6" t="s">
        <v>2550</v>
      </c>
      <c r="AU6" t="s">
        <v>2556</v>
      </c>
      <c r="AV6" t="s">
        <v>2548</v>
      </c>
    </row>
    <row r="7" spans="1:48">
      <c r="B7" t="s">
        <v>2559</v>
      </c>
      <c r="C7" t="s">
        <v>2559</v>
      </c>
      <c r="D7" t="s">
        <v>2533</v>
      </c>
      <c r="E7">
        <v>1.5</v>
      </c>
      <c r="F7">
        <v>1.5</v>
      </c>
      <c r="G7">
        <v>4</v>
      </c>
      <c r="H7">
        <v>4</v>
      </c>
      <c r="I7">
        <v>4</v>
      </c>
      <c r="J7">
        <v>4</v>
      </c>
      <c r="K7">
        <v>4</v>
      </c>
      <c r="L7">
        <v>4</v>
      </c>
      <c r="M7">
        <v>6</v>
      </c>
      <c r="N7">
        <v>4</v>
      </c>
      <c r="O7">
        <v>4</v>
      </c>
      <c r="P7">
        <v>4</v>
      </c>
      <c r="Q7">
        <v>3</v>
      </c>
      <c r="AD7">
        <v>0.7</v>
      </c>
      <c r="AE7" t="s">
        <v>2486</v>
      </c>
      <c r="AF7" t="s">
        <v>2546</v>
      </c>
      <c r="AG7" s="3" t="s">
        <v>2560</v>
      </c>
      <c r="AH7" t="s">
        <v>2561</v>
      </c>
      <c r="AI7" s="3" t="s">
        <v>2562</v>
      </c>
      <c r="AJ7" t="s">
        <v>2563</v>
      </c>
      <c r="AK7" s="3" t="s">
        <v>2564</v>
      </c>
      <c r="AL7" t="s">
        <v>2565</v>
      </c>
      <c r="AM7" s="3" t="s">
        <v>2566</v>
      </c>
      <c r="AO7" s="3" t="s">
        <v>2567</v>
      </c>
      <c r="AP7" t="s">
        <v>2568</v>
      </c>
      <c r="AQ7">
        <v>12</v>
      </c>
      <c r="AR7" t="s">
        <v>2569</v>
      </c>
      <c r="AS7" t="s">
        <v>2560</v>
      </c>
      <c r="AT7" t="s">
        <v>2561</v>
      </c>
      <c r="AU7" t="s">
        <v>2567</v>
      </c>
      <c r="AV7" t="s">
        <v>2570</v>
      </c>
    </row>
    <row r="8" spans="1:48">
      <c r="B8" t="s">
        <v>2571</v>
      </c>
      <c r="C8" t="s">
        <v>2571</v>
      </c>
      <c r="D8" t="s">
        <v>2547</v>
      </c>
      <c r="E8">
        <v>2</v>
      </c>
      <c r="F8">
        <v>2</v>
      </c>
      <c r="G8">
        <v>5</v>
      </c>
      <c r="H8">
        <v>5</v>
      </c>
      <c r="I8">
        <v>5</v>
      </c>
      <c r="J8">
        <v>5</v>
      </c>
      <c r="K8">
        <v>5</v>
      </c>
      <c r="L8">
        <v>5</v>
      </c>
      <c r="M8">
        <v>7</v>
      </c>
      <c r="N8">
        <v>5</v>
      </c>
      <c r="Q8">
        <v>4</v>
      </c>
      <c r="AE8" t="s">
        <v>2487</v>
      </c>
      <c r="AF8" t="s">
        <v>2532</v>
      </c>
      <c r="AG8" s="3" t="s">
        <v>2572</v>
      </c>
      <c r="AH8" t="s">
        <v>2573</v>
      </c>
      <c r="AI8" s="3" t="s">
        <v>2574</v>
      </c>
      <c r="AJ8" t="s">
        <v>2575</v>
      </c>
      <c r="AK8" s="3" t="s">
        <v>2576</v>
      </c>
      <c r="AL8" t="s">
        <v>1684</v>
      </c>
      <c r="AM8" s="3" t="s">
        <v>1684</v>
      </c>
      <c r="AO8">
        <v>11</v>
      </c>
      <c r="AP8" t="s">
        <v>2577</v>
      </c>
      <c r="AQ8">
        <v>13</v>
      </c>
      <c r="AR8" t="s">
        <v>2578</v>
      </c>
      <c r="AS8" t="s">
        <v>2579</v>
      </c>
      <c r="AT8" t="s">
        <v>2580</v>
      </c>
      <c r="AU8" t="s">
        <v>2581</v>
      </c>
      <c r="AV8" t="s">
        <v>1684</v>
      </c>
    </row>
    <row r="9" spans="1:48">
      <c r="B9" t="s">
        <v>2582</v>
      </c>
      <c r="C9" t="s">
        <v>2582</v>
      </c>
      <c r="D9" t="s">
        <v>2559</v>
      </c>
      <c r="M9">
        <v>8</v>
      </c>
      <c r="AE9" t="s">
        <v>2488</v>
      </c>
      <c r="AG9" s="3" t="s">
        <v>2579</v>
      </c>
      <c r="AH9" t="s">
        <v>2580</v>
      </c>
      <c r="AI9" s="3" t="s">
        <v>2583</v>
      </c>
      <c r="AJ9" t="s">
        <v>2584</v>
      </c>
      <c r="AO9">
        <v>12</v>
      </c>
      <c r="AP9" t="s">
        <v>2585</v>
      </c>
      <c r="AQ9">
        <v>14</v>
      </c>
      <c r="AR9" t="s">
        <v>2586</v>
      </c>
      <c r="AS9" t="s">
        <v>2587</v>
      </c>
      <c r="AT9" t="s">
        <v>2588</v>
      </c>
    </row>
    <row r="10" spans="1:48">
      <c r="B10" t="s">
        <v>2589</v>
      </c>
      <c r="C10" t="s">
        <v>2589</v>
      </c>
      <c r="D10" t="s">
        <v>2571</v>
      </c>
      <c r="M10">
        <v>9</v>
      </c>
      <c r="AE10" t="s">
        <v>2489</v>
      </c>
      <c r="AG10" s="3" t="s">
        <v>2587</v>
      </c>
      <c r="AH10" t="s">
        <v>2588</v>
      </c>
      <c r="AO10">
        <v>13</v>
      </c>
      <c r="AP10" t="s">
        <v>2590</v>
      </c>
      <c r="AQ10">
        <v>15</v>
      </c>
      <c r="AR10" t="s">
        <v>2591</v>
      </c>
      <c r="AS10" t="s">
        <v>2592</v>
      </c>
      <c r="AT10" t="s">
        <v>2593</v>
      </c>
    </row>
    <row r="11" spans="1:48">
      <c r="B11" t="s">
        <v>2594</v>
      </c>
      <c r="C11" t="s">
        <v>2594</v>
      </c>
      <c r="D11" t="s">
        <v>2582</v>
      </c>
      <c r="M11">
        <v>10</v>
      </c>
      <c r="AE11" t="s">
        <v>2490</v>
      </c>
      <c r="AG11" s="3" t="s">
        <v>2595</v>
      </c>
      <c r="AH11" t="s">
        <v>2596</v>
      </c>
      <c r="AO11">
        <v>14</v>
      </c>
      <c r="AP11" t="s">
        <v>2597</v>
      </c>
      <c r="AQ11">
        <v>16</v>
      </c>
      <c r="AR11" t="s">
        <v>2598</v>
      </c>
      <c r="AS11" t="s">
        <v>2595</v>
      </c>
      <c r="AT11" t="s">
        <v>2599</v>
      </c>
    </row>
    <row r="12" spans="1:48">
      <c r="B12" t="s">
        <v>2600</v>
      </c>
      <c r="C12" t="s">
        <v>2600</v>
      </c>
      <c r="D12" t="s">
        <v>2589</v>
      </c>
      <c r="M12">
        <v>11</v>
      </c>
      <c r="AE12" t="s">
        <v>2491</v>
      </c>
      <c r="AG12" s="3" t="s">
        <v>2601</v>
      </c>
      <c r="AH12" t="s">
        <v>2602</v>
      </c>
      <c r="AO12">
        <v>15</v>
      </c>
      <c r="AP12" t="s">
        <v>2603</v>
      </c>
      <c r="AQ12">
        <v>17</v>
      </c>
      <c r="AR12" t="s">
        <v>2604</v>
      </c>
      <c r="AS12" t="s">
        <v>2601</v>
      </c>
      <c r="AT12" t="s">
        <v>2605</v>
      </c>
    </row>
    <row r="13" spans="1:48">
      <c r="B13" t="s">
        <v>2606</v>
      </c>
      <c r="C13" t="s">
        <v>2606</v>
      </c>
      <c r="D13" t="s">
        <v>2594</v>
      </c>
      <c r="M13">
        <v>12</v>
      </c>
      <c r="AE13" t="s">
        <v>2492</v>
      </c>
      <c r="AG13" s="3" t="s">
        <v>2607</v>
      </c>
      <c r="AH13" t="s">
        <v>2608</v>
      </c>
      <c r="AO13">
        <v>16</v>
      </c>
      <c r="AP13" t="s">
        <v>2609</v>
      </c>
      <c r="AQ13">
        <v>18</v>
      </c>
      <c r="AR13" t="s">
        <v>2610</v>
      </c>
      <c r="AS13" t="s">
        <v>2607</v>
      </c>
      <c r="AT13" t="s">
        <v>2608</v>
      </c>
    </row>
    <row r="14" spans="1:48">
      <c r="B14" t="s">
        <v>2611</v>
      </c>
      <c r="C14" t="s">
        <v>2611</v>
      </c>
      <c r="D14" t="s">
        <v>2600</v>
      </c>
      <c r="M14">
        <v>13</v>
      </c>
      <c r="AE14" t="s">
        <v>2493</v>
      </c>
      <c r="AG14" s="3" t="s">
        <v>2612</v>
      </c>
      <c r="AH14" t="s">
        <v>2613</v>
      </c>
      <c r="AO14">
        <v>17</v>
      </c>
      <c r="AP14" t="s">
        <v>2614</v>
      </c>
      <c r="AQ14">
        <v>19</v>
      </c>
      <c r="AR14" t="s">
        <v>2615</v>
      </c>
      <c r="AS14" t="s">
        <v>2612</v>
      </c>
      <c r="AT14" t="s">
        <v>2613</v>
      </c>
    </row>
    <row r="15" spans="1:48">
      <c r="B15" t="s">
        <v>2616</v>
      </c>
      <c r="C15" t="s">
        <v>2616</v>
      </c>
      <c r="D15" t="s">
        <v>2606</v>
      </c>
      <c r="AE15" t="s">
        <v>1777</v>
      </c>
      <c r="AG15" s="3" t="s">
        <v>2617</v>
      </c>
      <c r="AH15" t="s">
        <v>2618</v>
      </c>
      <c r="AO15">
        <v>18</v>
      </c>
      <c r="AP15" t="s">
        <v>2619</v>
      </c>
      <c r="AQ15">
        <v>20</v>
      </c>
      <c r="AR15" t="s">
        <v>2620</v>
      </c>
      <c r="AS15" t="s">
        <v>2617</v>
      </c>
      <c r="AT15" t="s">
        <v>2618</v>
      </c>
    </row>
    <row r="16" spans="1:48">
      <c r="B16" t="s">
        <v>2621</v>
      </c>
      <c r="C16" t="s">
        <v>2621</v>
      </c>
      <c r="D16" t="s">
        <v>2611</v>
      </c>
      <c r="AG16" s="3" t="s">
        <v>2622</v>
      </c>
      <c r="AH16" t="s">
        <v>2623</v>
      </c>
      <c r="AO16">
        <v>19</v>
      </c>
      <c r="AP16" t="s">
        <v>2624</v>
      </c>
      <c r="AQ16">
        <v>21</v>
      </c>
      <c r="AR16" t="s">
        <v>2625</v>
      </c>
      <c r="AS16" t="s">
        <v>2626</v>
      </c>
      <c r="AT16" t="s">
        <v>2627</v>
      </c>
    </row>
    <row r="17" spans="2:46">
      <c r="B17" t="s">
        <v>2628</v>
      </c>
      <c r="C17" t="s">
        <v>2628</v>
      </c>
      <c r="D17" t="s">
        <v>2616</v>
      </c>
      <c r="AG17" s="3" t="s">
        <v>2629</v>
      </c>
      <c r="AH17" t="s">
        <v>2630</v>
      </c>
      <c r="AO17">
        <v>20</v>
      </c>
      <c r="AP17" t="s">
        <v>2631</v>
      </c>
      <c r="AQ17">
        <v>22</v>
      </c>
      <c r="AR17" t="s">
        <v>2632</v>
      </c>
      <c r="AS17" t="s">
        <v>2622</v>
      </c>
      <c r="AT17" t="s">
        <v>2633</v>
      </c>
    </row>
    <row r="18" spans="2:46">
      <c r="B18" t="s">
        <v>2634</v>
      </c>
      <c r="C18" t="s">
        <v>2634</v>
      </c>
      <c r="D18" t="s">
        <v>2621</v>
      </c>
      <c r="AG18" s="3" t="s">
        <v>2635</v>
      </c>
      <c r="AH18" t="s">
        <v>2636</v>
      </c>
      <c r="AO18">
        <v>21</v>
      </c>
      <c r="AP18" t="s">
        <v>2637</v>
      </c>
      <c r="AQ18">
        <v>23</v>
      </c>
      <c r="AR18" t="s">
        <v>2638</v>
      </c>
      <c r="AS18" t="s">
        <v>2629</v>
      </c>
      <c r="AT18" t="s">
        <v>2639</v>
      </c>
    </row>
    <row r="19" spans="2:46">
      <c r="B19" t="s">
        <v>2640</v>
      </c>
      <c r="C19" t="s">
        <v>2640</v>
      </c>
      <c r="D19" t="s">
        <v>2628</v>
      </c>
      <c r="AG19" s="3" t="s">
        <v>2641</v>
      </c>
      <c r="AH19" t="s">
        <v>2642</v>
      </c>
      <c r="AO19">
        <v>22</v>
      </c>
      <c r="AP19" t="s">
        <v>2643</v>
      </c>
      <c r="AQ19">
        <v>24</v>
      </c>
      <c r="AR19" t="s">
        <v>2644</v>
      </c>
      <c r="AS19" t="s">
        <v>2645</v>
      </c>
      <c r="AT19" t="s">
        <v>2646</v>
      </c>
    </row>
    <row r="20" spans="2:46">
      <c r="B20" t="s">
        <v>2647</v>
      </c>
      <c r="C20" t="s">
        <v>2647</v>
      </c>
      <c r="D20" t="s">
        <v>2634</v>
      </c>
      <c r="AG20" s="3" t="s">
        <v>2648</v>
      </c>
      <c r="AH20" t="s">
        <v>2649</v>
      </c>
      <c r="AO20">
        <v>23</v>
      </c>
      <c r="AP20" t="s">
        <v>2650</v>
      </c>
      <c r="AQ20">
        <v>30</v>
      </c>
      <c r="AR20" t="s">
        <v>2545</v>
      </c>
      <c r="AS20" t="s">
        <v>2635</v>
      </c>
      <c r="AT20" t="s">
        <v>2636</v>
      </c>
    </row>
    <row r="21" spans="2:46">
      <c r="B21" t="s">
        <v>2651</v>
      </c>
      <c r="C21" t="s">
        <v>2651</v>
      </c>
      <c r="D21" t="s">
        <v>2640</v>
      </c>
      <c r="AG21" s="3" t="s">
        <v>2652</v>
      </c>
      <c r="AH21" t="s">
        <v>2653</v>
      </c>
      <c r="AO21">
        <v>24</v>
      </c>
      <c r="AP21" t="s">
        <v>2654</v>
      </c>
      <c r="AQ21">
        <v>31</v>
      </c>
      <c r="AR21" t="s">
        <v>2558</v>
      </c>
      <c r="AS21" t="s">
        <v>2641</v>
      </c>
      <c r="AT21" t="s">
        <v>2655</v>
      </c>
    </row>
    <row r="22" spans="2:46">
      <c r="B22" t="s">
        <v>2656</v>
      </c>
      <c r="C22" t="s">
        <v>2656</v>
      </c>
      <c r="D22" t="s">
        <v>2647</v>
      </c>
      <c r="AG22" s="3" t="s">
        <v>2657</v>
      </c>
      <c r="AH22" t="s">
        <v>2658</v>
      </c>
      <c r="AO22">
        <v>25</v>
      </c>
      <c r="AP22" t="s">
        <v>2659</v>
      </c>
      <c r="AQ22">
        <v>32</v>
      </c>
      <c r="AR22" t="s">
        <v>2569</v>
      </c>
      <c r="AS22" t="s">
        <v>2648</v>
      </c>
      <c r="AT22" t="s">
        <v>2649</v>
      </c>
    </row>
    <row r="23" spans="2:46">
      <c r="B23" t="s">
        <v>2660</v>
      </c>
      <c r="C23" t="s">
        <v>2660</v>
      </c>
      <c r="D23" t="s">
        <v>2651</v>
      </c>
      <c r="AG23" s="3" t="s">
        <v>2661</v>
      </c>
      <c r="AH23" t="s">
        <v>2662</v>
      </c>
      <c r="AO23">
        <v>26</v>
      </c>
      <c r="AP23" t="s">
        <v>2663</v>
      </c>
      <c r="AQ23">
        <v>33</v>
      </c>
      <c r="AR23" t="s">
        <v>2578</v>
      </c>
      <c r="AS23" t="s">
        <v>2652</v>
      </c>
      <c r="AT23" t="s">
        <v>2664</v>
      </c>
    </row>
    <row r="24" spans="2:46">
      <c r="B24" t="s">
        <v>2665</v>
      </c>
      <c r="C24" t="s">
        <v>2665</v>
      </c>
      <c r="D24" t="s">
        <v>2656</v>
      </c>
      <c r="AG24" s="3" t="s">
        <v>2666</v>
      </c>
      <c r="AH24" t="s">
        <v>2667</v>
      </c>
      <c r="AO24">
        <v>27</v>
      </c>
      <c r="AP24" t="s">
        <v>2668</v>
      </c>
      <c r="AQ24">
        <v>34</v>
      </c>
      <c r="AR24" t="s">
        <v>2586</v>
      </c>
      <c r="AS24" t="s">
        <v>2669</v>
      </c>
      <c r="AT24" t="s">
        <v>2670</v>
      </c>
    </row>
    <row r="25" spans="2:46">
      <c r="B25" t="s">
        <v>2671</v>
      </c>
      <c r="C25" t="s">
        <v>2671</v>
      </c>
      <c r="D25" t="s">
        <v>2660</v>
      </c>
      <c r="AG25" s="3" t="s">
        <v>2672</v>
      </c>
      <c r="AH25" t="s">
        <v>2673</v>
      </c>
      <c r="AO25">
        <v>28</v>
      </c>
      <c r="AP25" t="s">
        <v>2674</v>
      </c>
      <c r="AQ25">
        <v>35</v>
      </c>
      <c r="AR25" t="s">
        <v>2591</v>
      </c>
      <c r="AS25" t="s">
        <v>2657</v>
      </c>
      <c r="AT25" t="s">
        <v>2675</v>
      </c>
    </row>
    <row r="26" spans="2:46">
      <c r="B26" t="s">
        <v>2676</v>
      </c>
      <c r="C26" t="s">
        <v>2676</v>
      </c>
      <c r="D26" t="s">
        <v>2665</v>
      </c>
      <c r="AG26" s="3" t="s">
        <v>2677</v>
      </c>
      <c r="AH26" t="s">
        <v>2678</v>
      </c>
      <c r="AO26">
        <v>29</v>
      </c>
      <c r="AP26" t="s">
        <v>2679</v>
      </c>
      <c r="AQ26">
        <v>36</v>
      </c>
      <c r="AR26" t="s">
        <v>2598</v>
      </c>
      <c r="AS26" t="s">
        <v>2661</v>
      </c>
      <c r="AT26" t="s">
        <v>2680</v>
      </c>
    </row>
    <row r="27" spans="2:46">
      <c r="B27" t="s">
        <v>2681</v>
      </c>
      <c r="C27" t="s">
        <v>2681</v>
      </c>
      <c r="D27" t="s">
        <v>2671</v>
      </c>
      <c r="AG27" s="3" t="s">
        <v>2682</v>
      </c>
      <c r="AH27" t="s">
        <v>2683</v>
      </c>
      <c r="AO27">
        <v>30</v>
      </c>
      <c r="AP27" t="s">
        <v>2684</v>
      </c>
      <c r="AQ27">
        <v>37</v>
      </c>
      <c r="AR27" t="s">
        <v>2604</v>
      </c>
      <c r="AS27" t="s">
        <v>2666</v>
      </c>
      <c r="AT27" t="s">
        <v>2667</v>
      </c>
    </row>
    <row r="28" spans="2:46">
      <c r="B28" t="s">
        <v>2685</v>
      </c>
      <c r="C28" t="s">
        <v>2685</v>
      </c>
      <c r="D28" t="s">
        <v>2676</v>
      </c>
      <c r="AG28" s="3" t="s">
        <v>2686</v>
      </c>
      <c r="AH28" t="s">
        <v>2687</v>
      </c>
      <c r="AO28">
        <v>31</v>
      </c>
      <c r="AP28" t="s">
        <v>2688</v>
      </c>
      <c r="AQ28">
        <v>38</v>
      </c>
      <c r="AR28" t="s">
        <v>2610</v>
      </c>
      <c r="AS28" t="s">
        <v>2672</v>
      </c>
      <c r="AT28" t="s">
        <v>2673</v>
      </c>
    </row>
    <row r="29" spans="2:46">
      <c r="B29" t="s">
        <v>2689</v>
      </c>
      <c r="C29" t="s">
        <v>2689</v>
      </c>
      <c r="D29" t="s">
        <v>2681</v>
      </c>
      <c r="AG29" s="3" t="s">
        <v>2690</v>
      </c>
      <c r="AH29" t="s">
        <v>2691</v>
      </c>
      <c r="AO29">
        <v>32</v>
      </c>
      <c r="AP29" t="s">
        <v>2692</v>
      </c>
      <c r="AQ29">
        <v>39</v>
      </c>
      <c r="AR29" t="s">
        <v>2615</v>
      </c>
      <c r="AS29" t="s">
        <v>2677</v>
      </c>
      <c r="AT29" t="s">
        <v>2678</v>
      </c>
    </row>
    <row r="30" spans="2:46">
      <c r="B30" t="s">
        <v>2693</v>
      </c>
      <c r="C30" t="s">
        <v>2693</v>
      </c>
      <c r="D30" t="s">
        <v>2685</v>
      </c>
      <c r="AG30" s="3" t="s">
        <v>2694</v>
      </c>
      <c r="AH30" t="s">
        <v>2695</v>
      </c>
      <c r="AO30">
        <v>33</v>
      </c>
      <c r="AP30" t="s">
        <v>2696</v>
      </c>
      <c r="AQ30">
        <v>40</v>
      </c>
      <c r="AR30" t="s">
        <v>2620</v>
      </c>
      <c r="AS30" t="s">
        <v>2682</v>
      </c>
      <c r="AT30" t="s">
        <v>2683</v>
      </c>
    </row>
    <row r="31" spans="2:46">
      <c r="B31" t="s">
        <v>2697</v>
      </c>
      <c r="C31" t="s">
        <v>2697</v>
      </c>
      <c r="D31" t="s">
        <v>2689</v>
      </c>
      <c r="AG31" s="3" t="s">
        <v>2698</v>
      </c>
      <c r="AH31" t="s">
        <v>2699</v>
      </c>
      <c r="AO31">
        <v>34</v>
      </c>
      <c r="AP31" t="s">
        <v>2700</v>
      </c>
      <c r="AQ31">
        <v>41</v>
      </c>
      <c r="AR31" t="s">
        <v>2625</v>
      </c>
      <c r="AS31" t="s">
        <v>2686</v>
      </c>
      <c r="AT31" t="s">
        <v>2687</v>
      </c>
    </row>
    <row r="32" spans="2:46">
      <c r="B32" t="s">
        <v>2701</v>
      </c>
      <c r="C32" t="s">
        <v>2701</v>
      </c>
      <c r="D32" t="s">
        <v>2693</v>
      </c>
      <c r="AG32" s="3" t="s">
        <v>2702</v>
      </c>
      <c r="AH32" t="s">
        <v>2703</v>
      </c>
      <c r="AO32">
        <v>35</v>
      </c>
      <c r="AP32" t="s">
        <v>2704</v>
      </c>
      <c r="AQ32">
        <v>42</v>
      </c>
      <c r="AR32" t="s">
        <v>2632</v>
      </c>
      <c r="AS32" t="s">
        <v>2690</v>
      </c>
      <c r="AT32" t="s">
        <v>2691</v>
      </c>
    </row>
    <row r="33" spans="2:46">
      <c r="B33" t="s">
        <v>2705</v>
      </c>
      <c r="C33" t="s">
        <v>2705</v>
      </c>
      <c r="D33" t="s">
        <v>2697</v>
      </c>
      <c r="AG33" s="3" t="s">
        <v>2706</v>
      </c>
      <c r="AH33" t="s">
        <v>2707</v>
      </c>
      <c r="AO33">
        <v>36</v>
      </c>
      <c r="AP33" t="s">
        <v>2708</v>
      </c>
      <c r="AQ33">
        <v>43</v>
      </c>
      <c r="AR33" t="s">
        <v>2638</v>
      </c>
      <c r="AS33" t="s">
        <v>2694</v>
      </c>
      <c r="AT33" t="s">
        <v>2709</v>
      </c>
    </row>
    <row r="34" spans="2:46">
      <c r="B34" t="s">
        <v>2710</v>
      </c>
      <c r="C34" t="s">
        <v>2710</v>
      </c>
      <c r="D34" t="s">
        <v>2701</v>
      </c>
      <c r="AG34" s="3" t="s">
        <v>2711</v>
      </c>
      <c r="AH34" t="s">
        <v>2712</v>
      </c>
      <c r="AO34">
        <v>37</v>
      </c>
      <c r="AP34" t="s">
        <v>2713</v>
      </c>
      <c r="AQ34">
        <v>44</v>
      </c>
      <c r="AR34" t="s">
        <v>2644</v>
      </c>
      <c r="AS34" t="s">
        <v>2698</v>
      </c>
      <c r="AT34" t="s">
        <v>2699</v>
      </c>
    </row>
    <row r="35" spans="2:46">
      <c r="B35" t="s">
        <v>2714</v>
      </c>
      <c r="C35" t="s">
        <v>2714</v>
      </c>
      <c r="D35" t="s">
        <v>2705</v>
      </c>
      <c r="AG35" s="3" t="s">
        <v>2715</v>
      </c>
      <c r="AH35" t="s">
        <v>2716</v>
      </c>
      <c r="AO35">
        <v>38</v>
      </c>
      <c r="AP35" t="s">
        <v>2717</v>
      </c>
      <c r="AS35" t="s">
        <v>2702</v>
      </c>
      <c r="AT35" t="s">
        <v>2718</v>
      </c>
    </row>
    <row r="36" spans="2:46">
      <c r="B36" t="s">
        <v>2719</v>
      </c>
      <c r="C36" t="s">
        <v>2719</v>
      </c>
      <c r="D36" t="s">
        <v>2710</v>
      </c>
      <c r="AG36" s="3" t="s">
        <v>2720</v>
      </c>
      <c r="AH36" t="s">
        <v>2721</v>
      </c>
      <c r="AO36">
        <v>39</v>
      </c>
      <c r="AP36" t="s">
        <v>2722</v>
      </c>
      <c r="AS36" t="s">
        <v>2706</v>
      </c>
      <c r="AT36" t="s">
        <v>2723</v>
      </c>
    </row>
    <row r="37" spans="2:46">
      <c r="B37" t="s">
        <v>2724</v>
      </c>
      <c r="C37" t="s">
        <v>2724</v>
      </c>
      <c r="D37" t="s">
        <v>2714</v>
      </c>
      <c r="AG37" s="3" t="s">
        <v>2725</v>
      </c>
      <c r="AH37" t="s">
        <v>2726</v>
      </c>
      <c r="AO37">
        <v>40</v>
      </c>
      <c r="AP37" t="s">
        <v>2727</v>
      </c>
      <c r="AS37" t="s">
        <v>2711</v>
      </c>
      <c r="AT37" t="s">
        <v>2712</v>
      </c>
    </row>
    <row r="38" spans="2:46">
      <c r="B38" t="s">
        <v>2728</v>
      </c>
      <c r="C38" t="s">
        <v>2728</v>
      </c>
      <c r="D38" t="s">
        <v>2719</v>
      </c>
      <c r="AG38" s="3" t="s">
        <v>2729</v>
      </c>
      <c r="AH38" t="s">
        <v>2730</v>
      </c>
      <c r="AO38">
        <v>41</v>
      </c>
      <c r="AP38" t="s">
        <v>2731</v>
      </c>
      <c r="AS38" t="s">
        <v>2715</v>
      </c>
      <c r="AT38" t="s">
        <v>2716</v>
      </c>
    </row>
    <row r="39" spans="2:46">
      <c r="B39" t="s">
        <v>2732</v>
      </c>
      <c r="C39" t="s">
        <v>2732</v>
      </c>
      <c r="D39" t="s">
        <v>2724</v>
      </c>
      <c r="AG39" s="3" t="s">
        <v>2733</v>
      </c>
      <c r="AH39" t="s">
        <v>2734</v>
      </c>
      <c r="AO39">
        <v>42</v>
      </c>
      <c r="AP39" t="s">
        <v>2735</v>
      </c>
      <c r="AS39" t="s">
        <v>2720</v>
      </c>
      <c r="AT39" t="s">
        <v>2721</v>
      </c>
    </row>
    <row r="40" spans="2:46">
      <c r="B40" t="s">
        <v>2736</v>
      </c>
      <c r="C40" t="s">
        <v>2736</v>
      </c>
      <c r="D40" t="s">
        <v>2728</v>
      </c>
      <c r="AG40" s="3" t="s">
        <v>2737</v>
      </c>
      <c r="AH40" t="s">
        <v>2738</v>
      </c>
      <c r="AO40">
        <v>43</v>
      </c>
      <c r="AP40" t="s">
        <v>2739</v>
      </c>
      <c r="AS40" t="s">
        <v>2725</v>
      </c>
      <c r="AT40" t="s">
        <v>2726</v>
      </c>
    </row>
    <row r="41" spans="2:46">
      <c r="B41" t="s">
        <v>2740</v>
      </c>
      <c r="C41" t="s">
        <v>2740</v>
      </c>
      <c r="D41" t="s">
        <v>2732</v>
      </c>
      <c r="AG41" s="3" t="s">
        <v>2741</v>
      </c>
      <c r="AH41" t="s">
        <v>2742</v>
      </c>
      <c r="AO41">
        <v>44</v>
      </c>
      <c r="AP41" t="s">
        <v>2743</v>
      </c>
      <c r="AS41" t="s">
        <v>2729</v>
      </c>
      <c r="AT41" t="s">
        <v>2730</v>
      </c>
    </row>
    <row r="42" spans="2:46">
      <c r="B42" t="s">
        <v>2744</v>
      </c>
      <c r="C42" t="s">
        <v>2744</v>
      </c>
      <c r="D42" t="s">
        <v>2736</v>
      </c>
      <c r="AG42" s="3" t="s">
        <v>2745</v>
      </c>
      <c r="AH42" t="s">
        <v>2746</v>
      </c>
      <c r="AO42">
        <v>45</v>
      </c>
      <c r="AP42" t="s">
        <v>2747</v>
      </c>
      <c r="AS42" t="s">
        <v>2733</v>
      </c>
      <c r="AT42" t="s">
        <v>2734</v>
      </c>
    </row>
    <row r="43" spans="2:46">
      <c r="B43" t="s">
        <v>2748</v>
      </c>
      <c r="C43" t="s">
        <v>2748</v>
      </c>
      <c r="D43" t="s">
        <v>2740</v>
      </c>
      <c r="AG43" s="3" t="s">
        <v>2749</v>
      </c>
      <c r="AH43" t="s">
        <v>2750</v>
      </c>
      <c r="AO43">
        <v>46</v>
      </c>
      <c r="AP43" t="s">
        <v>2751</v>
      </c>
      <c r="AS43" t="s">
        <v>2737</v>
      </c>
      <c r="AT43" t="s">
        <v>2752</v>
      </c>
    </row>
    <row r="44" spans="2:46">
      <c r="B44" t="s">
        <v>2753</v>
      </c>
      <c r="C44" t="s">
        <v>2753</v>
      </c>
      <c r="D44" t="s">
        <v>2744</v>
      </c>
      <c r="AG44" s="3" t="s">
        <v>2754</v>
      </c>
      <c r="AH44" t="s">
        <v>2755</v>
      </c>
      <c r="AO44">
        <v>99</v>
      </c>
      <c r="AP44" t="s">
        <v>2644</v>
      </c>
      <c r="AS44" t="s">
        <v>2741</v>
      </c>
      <c r="AT44" t="s">
        <v>2742</v>
      </c>
    </row>
    <row r="45" spans="2:46">
      <c r="B45" t="s">
        <v>2756</v>
      </c>
      <c r="C45" t="s">
        <v>2756</v>
      </c>
      <c r="D45" t="s">
        <v>2748</v>
      </c>
      <c r="AG45" s="3" t="s">
        <v>2757</v>
      </c>
      <c r="AH45" t="s">
        <v>2758</v>
      </c>
      <c r="AS45" t="s">
        <v>2745</v>
      </c>
      <c r="AT45" t="s">
        <v>2746</v>
      </c>
    </row>
    <row r="46" spans="2:46">
      <c r="B46" t="s">
        <v>2759</v>
      </c>
      <c r="C46" t="s">
        <v>2759</v>
      </c>
      <c r="D46" t="s">
        <v>2753</v>
      </c>
      <c r="AG46" s="3" t="s">
        <v>2760</v>
      </c>
      <c r="AH46" t="s">
        <v>2761</v>
      </c>
      <c r="AS46" t="s">
        <v>2749</v>
      </c>
      <c r="AT46" t="s">
        <v>2750</v>
      </c>
    </row>
    <row r="47" spans="2:46">
      <c r="B47" t="s">
        <v>2762</v>
      </c>
      <c r="C47" t="s">
        <v>2762</v>
      </c>
      <c r="D47" t="s">
        <v>2756</v>
      </c>
      <c r="AG47" s="3" t="s">
        <v>2763</v>
      </c>
      <c r="AH47" t="s">
        <v>2764</v>
      </c>
      <c r="AS47" t="s">
        <v>2754</v>
      </c>
      <c r="AT47" t="s">
        <v>2755</v>
      </c>
    </row>
    <row r="48" spans="2:46">
      <c r="B48" t="s">
        <v>2765</v>
      </c>
      <c r="C48" t="s">
        <v>2765</v>
      </c>
      <c r="D48" t="s">
        <v>2759</v>
      </c>
      <c r="AG48" s="3" t="s">
        <v>2766</v>
      </c>
      <c r="AH48" t="s">
        <v>2767</v>
      </c>
      <c r="AS48" t="s">
        <v>2757</v>
      </c>
      <c r="AT48" t="s">
        <v>2758</v>
      </c>
    </row>
    <row r="49" spans="2:46">
      <c r="B49" t="s">
        <v>2768</v>
      </c>
      <c r="C49" t="s">
        <v>2768</v>
      </c>
      <c r="D49" t="s">
        <v>2762</v>
      </c>
      <c r="AG49" s="3" t="s">
        <v>2769</v>
      </c>
      <c r="AH49" t="s">
        <v>2770</v>
      </c>
      <c r="AI49"/>
      <c r="AK49"/>
      <c r="AS49" t="s">
        <v>2760</v>
      </c>
      <c r="AT49" t="s">
        <v>2771</v>
      </c>
    </row>
    <row r="50" spans="2:46">
      <c r="D50" t="s">
        <v>2765</v>
      </c>
      <c r="AG50" s="3" t="s">
        <v>2772</v>
      </c>
      <c r="AH50" t="s">
        <v>2773</v>
      </c>
      <c r="AI50"/>
      <c r="AK50"/>
      <c r="AS50" t="s">
        <v>2763</v>
      </c>
      <c r="AT50" t="s">
        <v>2774</v>
      </c>
    </row>
    <row r="51" spans="2:46">
      <c r="D51" t="s">
        <v>2768</v>
      </c>
      <c r="AG51" s="3" t="s">
        <v>2775</v>
      </c>
      <c r="AH51" t="s">
        <v>2776</v>
      </c>
      <c r="AI51"/>
      <c r="AK51"/>
      <c r="AS51" t="s">
        <v>2766</v>
      </c>
      <c r="AT51" t="s">
        <v>2767</v>
      </c>
    </row>
    <row r="52" spans="2:46">
      <c r="AG52" s="3" t="s">
        <v>2777</v>
      </c>
      <c r="AH52" t="s">
        <v>2778</v>
      </c>
      <c r="AI52"/>
      <c r="AK52"/>
      <c r="AS52" t="s">
        <v>2769</v>
      </c>
      <c r="AT52" t="s">
        <v>2779</v>
      </c>
    </row>
    <row r="53" spans="2:46">
      <c r="AG53" s="3" t="s">
        <v>2780</v>
      </c>
      <c r="AH53" t="s">
        <v>2781</v>
      </c>
      <c r="AI53"/>
      <c r="AK53"/>
      <c r="AS53" t="s">
        <v>2772</v>
      </c>
      <c r="AT53" t="s">
        <v>2773</v>
      </c>
    </row>
    <row r="54" spans="2:46">
      <c r="AG54" s="3" t="s">
        <v>2782</v>
      </c>
      <c r="AH54" t="s">
        <v>2783</v>
      </c>
      <c r="AI54"/>
      <c r="AK54"/>
      <c r="AS54" t="s">
        <v>2775</v>
      </c>
      <c r="AT54" t="s">
        <v>2784</v>
      </c>
    </row>
    <row r="55" spans="2:46">
      <c r="AG55" s="3" t="s">
        <v>2785</v>
      </c>
      <c r="AH55" t="s">
        <v>2786</v>
      </c>
      <c r="AI55"/>
      <c r="AK55"/>
      <c r="AS55" t="s">
        <v>2777</v>
      </c>
      <c r="AT55" t="s">
        <v>2778</v>
      </c>
    </row>
    <row r="56" spans="2:46">
      <c r="AG56" s="3" t="s">
        <v>2787</v>
      </c>
      <c r="AH56" t="s">
        <v>2788</v>
      </c>
      <c r="AI56"/>
      <c r="AK56"/>
      <c r="AS56" t="s">
        <v>2780</v>
      </c>
      <c r="AT56" t="s">
        <v>2781</v>
      </c>
    </row>
    <row r="57" spans="2:46">
      <c r="AG57" s="3" t="s">
        <v>2789</v>
      </c>
      <c r="AH57" t="s">
        <v>2790</v>
      </c>
      <c r="AI57"/>
      <c r="AK57"/>
      <c r="AS57" t="s">
        <v>2782</v>
      </c>
      <c r="AT57" t="s">
        <v>2783</v>
      </c>
    </row>
    <row r="58" spans="2:46">
      <c r="AG58" s="3" t="s">
        <v>2791</v>
      </c>
      <c r="AH58" t="s">
        <v>2792</v>
      </c>
      <c r="AI58"/>
      <c r="AK58"/>
      <c r="AS58" t="s">
        <v>2785</v>
      </c>
      <c r="AT58" t="s">
        <v>2793</v>
      </c>
    </row>
    <row r="59" spans="2:46">
      <c r="AG59" s="3" t="s">
        <v>2794</v>
      </c>
      <c r="AH59" t="s">
        <v>2795</v>
      </c>
      <c r="AI59"/>
      <c r="AK59"/>
      <c r="AS59" t="s">
        <v>2787</v>
      </c>
      <c r="AT59" t="s">
        <v>2788</v>
      </c>
    </row>
    <row r="60" spans="2:46">
      <c r="AG60" s="3" t="s">
        <v>2796</v>
      </c>
      <c r="AH60" t="s">
        <v>2797</v>
      </c>
      <c r="AI60"/>
      <c r="AK60"/>
      <c r="AS60" t="s">
        <v>2789</v>
      </c>
      <c r="AT60" t="s">
        <v>2790</v>
      </c>
    </row>
    <row r="61" spans="2:46">
      <c r="AG61" s="3" t="s">
        <v>2798</v>
      </c>
      <c r="AH61" t="s">
        <v>2799</v>
      </c>
      <c r="AI61"/>
      <c r="AK61"/>
      <c r="AS61" t="s">
        <v>2791</v>
      </c>
      <c r="AT61" t="s">
        <v>2792</v>
      </c>
    </row>
    <row r="62" spans="2:46">
      <c r="AG62" s="3" t="s">
        <v>2800</v>
      </c>
      <c r="AH62" t="s">
        <v>2801</v>
      </c>
      <c r="AI62"/>
      <c r="AK62"/>
      <c r="AS62" t="s">
        <v>2794</v>
      </c>
      <c r="AT62" t="s">
        <v>2795</v>
      </c>
    </row>
    <row r="63" spans="2:46">
      <c r="AG63" s="3" t="s">
        <v>2802</v>
      </c>
      <c r="AH63" t="s">
        <v>2803</v>
      </c>
      <c r="AI63"/>
      <c r="AK63"/>
      <c r="AS63" t="s">
        <v>2796</v>
      </c>
      <c r="AT63" t="s">
        <v>2797</v>
      </c>
    </row>
    <row r="64" spans="2:46">
      <c r="AG64" s="3" t="s">
        <v>2804</v>
      </c>
      <c r="AH64" t="s">
        <v>2805</v>
      </c>
      <c r="AI64"/>
      <c r="AK64"/>
      <c r="AS64" t="s">
        <v>2798</v>
      </c>
      <c r="AT64" t="s">
        <v>2799</v>
      </c>
    </row>
    <row r="65" spans="33:46">
      <c r="AG65" s="3" t="s">
        <v>2806</v>
      </c>
      <c r="AH65" t="s">
        <v>2807</v>
      </c>
      <c r="AI65"/>
      <c r="AK65"/>
      <c r="AS65" t="s">
        <v>2800</v>
      </c>
      <c r="AT65" t="s">
        <v>2801</v>
      </c>
    </row>
    <row r="66" spans="33:46">
      <c r="AG66" s="3" t="s">
        <v>2808</v>
      </c>
      <c r="AH66" t="s">
        <v>2809</v>
      </c>
      <c r="AI66"/>
      <c r="AK66"/>
      <c r="AS66" t="s">
        <v>2802</v>
      </c>
      <c r="AT66" t="s">
        <v>2803</v>
      </c>
    </row>
    <row r="67" spans="33:46">
      <c r="AG67" s="3" t="s">
        <v>2810</v>
      </c>
      <c r="AH67" t="s">
        <v>2811</v>
      </c>
      <c r="AI67"/>
      <c r="AK67"/>
      <c r="AS67" t="s">
        <v>2804</v>
      </c>
      <c r="AT67" t="s">
        <v>2805</v>
      </c>
    </row>
    <row r="68" spans="33:46">
      <c r="AG68" s="3" t="s">
        <v>2812</v>
      </c>
      <c r="AH68" t="s">
        <v>2813</v>
      </c>
      <c r="AI68"/>
      <c r="AK68"/>
      <c r="AS68" t="s">
        <v>2806</v>
      </c>
      <c r="AT68" t="s">
        <v>2807</v>
      </c>
    </row>
    <row r="69" spans="33:46">
      <c r="AS69" t="s">
        <v>2808</v>
      </c>
      <c r="AT69" t="s">
        <v>2809</v>
      </c>
    </row>
    <row r="70" spans="33:46">
      <c r="AS70" t="s">
        <v>2810</v>
      </c>
      <c r="AT70" t="s">
        <v>2811</v>
      </c>
    </row>
    <row r="71" spans="33:46">
      <c r="AS71" t="s">
        <v>2814</v>
      </c>
      <c r="AT71" t="s">
        <v>2815</v>
      </c>
    </row>
    <row r="72" spans="33:46">
      <c r="AS72" t="s">
        <v>2816</v>
      </c>
      <c r="AT72" t="s">
        <v>2817</v>
      </c>
    </row>
    <row r="73" spans="33:46">
      <c r="AS73" t="s">
        <v>2818</v>
      </c>
      <c r="AT73" t="s">
        <v>2819</v>
      </c>
    </row>
    <row r="74" spans="33:46">
      <c r="AS74" t="s">
        <v>2812</v>
      </c>
      <c r="AT74" t="s">
        <v>1684</v>
      </c>
    </row>
  </sheetData>
  <phoneticPr fontId="11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sheetPr>
  <dimension ref="A1:C65"/>
  <sheetViews>
    <sheetView workbookViewId="0"/>
  </sheetViews>
  <sheetFormatPr defaultColWidth="9" defaultRowHeight="13.5"/>
  <cols>
    <col min="1" max="1" width="52.625" style="19" customWidth="1"/>
    <col min="2" max="2" width="9" style="19" customWidth="1"/>
    <col min="3" max="16384" width="9" style="19"/>
  </cols>
  <sheetData>
    <row r="1" spans="1:3">
      <c r="A1" s="27" t="s">
        <v>2510</v>
      </c>
      <c r="B1" s="27" t="s">
        <v>2509</v>
      </c>
      <c r="C1" s="22" t="s">
        <v>2820</v>
      </c>
    </row>
    <row r="2" spans="1:3">
      <c r="A2" s="27" t="s">
        <v>2783</v>
      </c>
      <c r="B2" s="27" t="s">
        <v>2782</v>
      </c>
    </row>
    <row r="3" spans="1:3">
      <c r="A3" s="27" t="s">
        <v>2522</v>
      </c>
      <c r="B3" s="27" t="s">
        <v>2521</v>
      </c>
    </row>
    <row r="4" spans="1:3">
      <c r="A4" s="27" t="s">
        <v>2536</v>
      </c>
      <c r="B4" s="27" t="s">
        <v>2535</v>
      </c>
    </row>
    <row r="5" spans="1:3">
      <c r="A5" s="27" t="s">
        <v>2550</v>
      </c>
      <c r="B5" s="27" t="s">
        <v>2549</v>
      </c>
    </row>
    <row r="6" spans="1:3">
      <c r="A6" s="27" t="s">
        <v>2561</v>
      </c>
      <c r="B6" s="27" t="s">
        <v>2560</v>
      </c>
    </row>
    <row r="7" spans="1:3">
      <c r="A7" s="27" t="s">
        <v>2573</v>
      </c>
      <c r="B7" s="27" t="s">
        <v>2572</v>
      </c>
    </row>
    <row r="8" spans="1:3">
      <c r="A8" s="27" t="s">
        <v>2580</v>
      </c>
      <c r="B8" s="27" t="s">
        <v>2579</v>
      </c>
    </row>
    <row r="9" spans="1:3">
      <c r="A9" s="27" t="s">
        <v>2588</v>
      </c>
      <c r="B9" s="27" t="s">
        <v>2587</v>
      </c>
    </row>
    <row r="10" spans="1:3">
      <c r="A10" s="27" t="s">
        <v>2599</v>
      </c>
      <c r="B10" s="27" t="s">
        <v>2595</v>
      </c>
    </row>
    <row r="11" spans="1:3">
      <c r="A11" s="27" t="s">
        <v>2602</v>
      </c>
      <c r="B11" s="27" t="s">
        <v>2601</v>
      </c>
    </row>
    <row r="12" spans="1:3">
      <c r="A12" s="27" t="s">
        <v>2608</v>
      </c>
      <c r="B12" s="27" t="s">
        <v>2607</v>
      </c>
    </row>
    <row r="13" spans="1:3">
      <c r="A13" s="27" t="s">
        <v>2613</v>
      </c>
      <c r="B13" s="27" t="s">
        <v>2612</v>
      </c>
    </row>
    <row r="14" spans="1:3">
      <c r="A14" s="27" t="s">
        <v>2618</v>
      </c>
      <c r="B14" s="27" t="s">
        <v>2617</v>
      </c>
    </row>
    <row r="15" spans="1:3">
      <c r="A15" s="27" t="s">
        <v>2633</v>
      </c>
      <c r="B15" s="27" t="s">
        <v>2622</v>
      </c>
    </row>
    <row r="16" spans="1:3">
      <c r="A16" s="27" t="s">
        <v>2639</v>
      </c>
      <c r="B16" s="27" t="s">
        <v>2629</v>
      </c>
    </row>
    <row r="17" spans="1:2">
      <c r="A17" s="27" t="s">
        <v>2636</v>
      </c>
      <c r="B17" s="27" t="s">
        <v>2635</v>
      </c>
    </row>
    <row r="18" spans="1:2">
      <c r="A18" s="27" t="s">
        <v>2821</v>
      </c>
      <c r="B18" s="27" t="s">
        <v>2641</v>
      </c>
    </row>
    <row r="19" spans="1:2">
      <c r="A19" s="27" t="s">
        <v>2649</v>
      </c>
      <c r="B19" s="27" t="s">
        <v>2648</v>
      </c>
    </row>
    <row r="20" spans="1:2">
      <c r="A20" s="27" t="s">
        <v>2653</v>
      </c>
      <c r="B20" s="27" t="s">
        <v>2652</v>
      </c>
    </row>
    <row r="21" spans="1:2">
      <c r="A21" s="27" t="s">
        <v>2822</v>
      </c>
      <c r="B21" s="27" t="s">
        <v>2657</v>
      </c>
    </row>
    <row r="22" spans="1:2">
      <c r="A22" s="27" t="s">
        <v>2667</v>
      </c>
      <c r="B22" s="27" t="s">
        <v>2666</v>
      </c>
    </row>
    <row r="23" spans="1:2">
      <c r="A23" s="27" t="s">
        <v>2673</v>
      </c>
      <c r="B23" s="27" t="s">
        <v>2672</v>
      </c>
    </row>
    <row r="24" spans="1:2">
      <c r="A24" s="27" t="s">
        <v>2678</v>
      </c>
      <c r="B24" s="27" t="s">
        <v>2677</v>
      </c>
    </row>
    <row r="25" spans="1:2">
      <c r="A25" s="27" t="s">
        <v>2683</v>
      </c>
      <c r="B25" s="27" t="s">
        <v>2682</v>
      </c>
    </row>
    <row r="26" spans="1:2">
      <c r="A26" s="27" t="s">
        <v>2687</v>
      </c>
      <c r="B26" s="27" t="s">
        <v>2686</v>
      </c>
    </row>
    <row r="27" spans="1:2">
      <c r="A27" s="27" t="s">
        <v>2691</v>
      </c>
      <c r="B27" s="27" t="s">
        <v>2690</v>
      </c>
    </row>
    <row r="28" spans="1:2">
      <c r="A28" s="27" t="s">
        <v>2823</v>
      </c>
      <c r="B28" s="27" t="s">
        <v>2694</v>
      </c>
    </row>
    <row r="29" spans="1:2">
      <c r="A29" s="27" t="s">
        <v>2699</v>
      </c>
      <c r="B29" s="27" t="s">
        <v>2698</v>
      </c>
    </row>
    <row r="30" spans="1:2">
      <c r="A30" s="27" t="s">
        <v>2718</v>
      </c>
      <c r="B30" s="27" t="s">
        <v>2702</v>
      </c>
    </row>
    <row r="31" spans="1:2">
      <c r="A31" s="27" t="s">
        <v>2824</v>
      </c>
      <c r="B31" s="27" t="s">
        <v>2706</v>
      </c>
    </row>
    <row r="32" spans="1:2">
      <c r="A32" s="27" t="s">
        <v>2712</v>
      </c>
      <c r="B32" s="27" t="s">
        <v>2711</v>
      </c>
    </row>
    <row r="33" spans="1:2">
      <c r="A33" s="27" t="s">
        <v>2716</v>
      </c>
      <c r="B33" s="27" t="s">
        <v>2715</v>
      </c>
    </row>
    <row r="34" spans="1:2">
      <c r="A34" s="27" t="s">
        <v>2721</v>
      </c>
      <c r="B34" s="27" t="s">
        <v>2720</v>
      </c>
    </row>
    <row r="35" spans="1:2">
      <c r="A35" s="27" t="s">
        <v>2726</v>
      </c>
      <c r="B35" s="27" t="s">
        <v>2725</v>
      </c>
    </row>
    <row r="36" spans="1:2">
      <c r="A36" s="27" t="s">
        <v>2730</v>
      </c>
      <c r="B36" s="27" t="s">
        <v>2729</v>
      </c>
    </row>
    <row r="37" spans="1:2">
      <c r="A37" s="27" t="s">
        <v>2825</v>
      </c>
      <c r="B37" s="27" t="s">
        <v>2733</v>
      </c>
    </row>
    <row r="38" spans="1:2">
      <c r="A38" s="27" t="s">
        <v>2752</v>
      </c>
      <c r="B38" s="27" t="s">
        <v>2737</v>
      </c>
    </row>
    <row r="39" spans="1:2">
      <c r="A39" s="27" t="s">
        <v>2742</v>
      </c>
      <c r="B39" s="27" t="s">
        <v>2741</v>
      </c>
    </row>
    <row r="40" spans="1:2">
      <c r="A40" s="27" t="s">
        <v>2746</v>
      </c>
      <c r="B40" s="27" t="s">
        <v>2745</v>
      </c>
    </row>
    <row r="41" spans="1:2">
      <c r="A41" s="27" t="s">
        <v>2750</v>
      </c>
      <c r="B41" s="27" t="s">
        <v>2749</v>
      </c>
    </row>
    <row r="42" spans="1:2">
      <c r="A42" s="27" t="s">
        <v>2755</v>
      </c>
      <c r="B42" s="27" t="s">
        <v>2754</v>
      </c>
    </row>
    <row r="43" spans="1:2">
      <c r="A43" s="27" t="s">
        <v>2758</v>
      </c>
      <c r="B43" s="27" t="s">
        <v>2757</v>
      </c>
    </row>
    <row r="44" spans="1:2">
      <c r="A44" s="27" t="s">
        <v>2826</v>
      </c>
      <c r="B44" s="27" t="s">
        <v>2760</v>
      </c>
    </row>
    <row r="45" spans="1:2">
      <c r="A45" s="27" t="s">
        <v>2827</v>
      </c>
      <c r="B45" s="27" t="s">
        <v>2763</v>
      </c>
    </row>
    <row r="46" spans="1:2">
      <c r="A46" s="27" t="s">
        <v>2767</v>
      </c>
      <c r="B46" s="27" t="s">
        <v>2766</v>
      </c>
    </row>
    <row r="47" spans="1:2">
      <c r="A47" s="27" t="s">
        <v>2828</v>
      </c>
      <c r="B47" s="27" t="s">
        <v>2769</v>
      </c>
    </row>
    <row r="48" spans="1:2">
      <c r="A48" s="27" t="s">
        <v>2829</v>
      </c>
      <c r="B48" s="27" t="s">
        <v>2772</v>
      </c>
    </row>
    <row r="49" spans="1:2">
      <c r="A49" s="27" t="s">
        <v>2830</v>
      </c>
      <c r="B49" s="27" t="s">
        <v>2775</v>
      </c>
    </row>
    <row r="50" spans="1:2">
      <c r="A50" s="27" t="s">
        <v>2778</v>
      </c>
      <c r="B50" s="27" t="s">
        <v>2777</v>
      </c>
    </row>
    <row r="51" spans="1:2">
      <c r="A51" s="27" t="s">
        <v>2781</v>
      </c>
      <c r="B51" s="27" t="s">
        <v>2780</v>
      </c>
    </row>
    <row r="52" spans="1:2">
      <c r="A52" s="27" t="s">
        <v>2793</v>
      </c>
      <c r="B52" s="27" t="s">
        <v>2785</v>
      </c>
    </row>
    <row r="53" spans="1:2">
      <c r="A53" s="27" t="s">
        <v>2788</v>
      </c>
      <c r="B53" s="27" t="s">
        <v>2787</v>
      </c>
    </row>
    <row r="54" spans="1:2">
      <c r="A54" s="27" t="s">
        <v>2790</v>
      </c>
      <c r="B54" s="27" t="s">
        <v>2789</v>
      </c>
    </row>
    <row r="55" spans="1:2">
      <c r="A55" s="27" t="s">
        <v>2792</v>
      </c>
      <c r="B55" s="27" t="s">
        <v>2791</v>
      </c>
    </row>
    <row r="56" spans="1:2">
      <c r="A56" s="27" t="s">
        <v>2795</v>
      </c>
      <c r="B56" s="27" t="s">
        <v>2794</v>
      </c>
    </row>
    <row r="57" spans="1:2">
      <c r="A57" s="27" t="s">
        <v>2797</v>
      </c>
      <c r="B57" s="27" t="s">
        <v>2796</v>
      </c>
    </row>
    <row r="58" spans="1:2">
      <c r="A58" s="27" t="s">
        <v>2799</v>
      </c>
      <c r="B58" s="27" t="s">
        <v>2798</v>
      </c>
    </row>
    <row r="59" spans="1:2">
      <c r="A59" s="27" t="s">
        <v>2801</v>
      </c>
      <c r="B59" s="27" t="s">
        <v>2800</v>
      </c>
    </row>
    <row r="60" spans="1:2">
      <c r="A60" s="27" t="s">
        <v>2803</v>
      </c>
      <c r="B60" s="27" t="s">
        <v>2802</v>
      </c>
    </row>
    <row r="61" spans="1:2">
      <c r="A61" s="27" t="s">
        <v>2805</v>
      </c>
      <c r="B61" s="27" t="s">
        <v>2804</v>
      </c>
    </row>
    <row r="62" spans="1:2">
      <c r="A62" s="27" t="s">
        <v>2831</v>
      </c>
      <c r="B62" s="27" t="s">
        <v>2806</v>
      </c>
    </row>
    <row r="63" spans="1:2">
      <c r="A63" s="27" t="s">
        <v>2809</v>
      </c>
      <c r="B63" s="27" t="s">
        <v>2808</v>
      </c>
    </row>
    <row r="64" spans="1:2">
      <c r="A64" s="27" t="s">
        <v>2811</v>
      </c>
      <c r="B64" s="27" t="s">
        <v>2810</v>
      </c>
    </row>
    <row r="65" spans="1:2">
      <c r="A65" s="27" t="s">
        <v>1684</v>
      </c>
      <c r="B65" s="27" t="s">
        <v>2812</v>
      </c>
    </row>
  </sheetData>
  <phoneticPr fontId="116"/>
  <hyperlinks>
    <hyperlink ref="C1" location="トップ!A1" display="トップ"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U37"/>
  <sheetViews>
    <sheetView topLeftCell="B1" workbookViewId="0">
      <selection activeCell="O2" sqref="O2"/>
    </sheetView>
  </sheetViews>
  <sheetFormatPr defaultColWidth="9" defaultRowHeight="13.5"/>
  <cols>
    <col min="1" max="2" width="9" style="19" customWidth="1"/>
    <col min="3" max="3" width="32.75" style="19" bestFit="1" customWidth="1"/>
    <col min="4" max="4" width="13" style="19" bestFit="1" customWidth="1"/>
    <col min="5" max="9" width="3.375" style="19" bestFit="1" customWidth="1"/>
    <col min="10" max="10" width="4.375" style="19" bestFit="1" customWidth="1"/>
    <col min="11" max="11" width="24.125" style="19" bestFit="1" customWidth="1"/>
    <col min="12" max="12" width="20.375" style="19" bestFit="1" customWidth="1"/>
    <col min="13" max="13" width="36.125" style="19" bestFit="1" customWidth="1"/>
    <col min="14" max="14" width="55.25" style="19" bestFit="1" customWidth="1"/>
    <col min="15" max="15" width="6.75" style="19" bestFit="1" customWidth="1"/>
    <col min="16" max="20" width="3.375" style="19" bestFit="1" customWidth="1"/>
    <col min="21" max="21" width="3.625" style="19" customWidth="1"/>
    <col min="22" max="22" width="9" style="19" customWidth="1"/>
    <col min="23" max="16384" width="9" style="19"/>
  </cols>
  <sheetData>
    <row r="1" spans="1:21">
      <c r="A1" s="20" t="s">
        <v>2820</v>
      </c>
      <c r="I1" s="26" t="s">
        <v>2832</v>
      </c>
      <c r="K1" s="19" t="s">
        <v>2833</v>
      </c>
      <c r="L1" s="19" t="s">
        <v>2834</v>
      </c>
      <c r="Q1" s="24" t="s">
        <v>2516</v>
      </c>
      <c r="R1" s="19">
        <v>11</v>
      </c>
      <c r="S1" s="19" t="s">
        <v>2835</v>
      </c>
      <c r="T1" s="19" t="s">
        <v>2836</v>
      </c>
    </row>
    <row r="2" spans="1:21">
      <c r="B2" s="19" t="s">
        <v>2837</v>
      </c>
      <c r="C2" s="19" t="s">
        <v>2838</v>
      </c>
      <c r="D2" s="19" t="s">
        <v>2506</v>
      </c>
      <c r="E2" s="19">
        <v>21</v>
      </c>
      <c r="F2" s="19" t="s">
        <v>2839</v>
      </c>
      <c r="G2" s="19">
        <v>1</v>
      </c>
      <c r="H2" s="19">
        <v>1</v>
      </c>
      <c r="I2" s="26" t="s">
        <v>2840</v>
      </c>
      <c r="J2" s="19">
        <v>100</v>
      </c>
      <c r="K2" s="19" t="s">
        <v>2841</v>
      </c>
      <c r="L2" s="19" t="s">
        <v>2842</v>
      </c>
      <c r="M2" s="23" t="s">
        <v>2843</v>
      </c>
      <c r="N2" s="19" t="s">
        <v>2844</v>
      </c>
      <c r="O2" s="25" t="s">
        <v>2845</v>
      </c>
      <c r="P2" s="26" t="s">
        <v>2846</v>
      </c>
      <c r="Q2" s="24" t="s">
        <v>2529</v>
      </c>
      <c r="R2" s="19">
        <v>12</v>
      </c>
      <c r="S2" s="19" t="s">
        <v>2847</v>
      </c>
      <c r="T2" s="19" t="s">
        <v>2848</v>
      </c>
      <c r="U2" s="19" t="s">
        <v>2849</v>
      </c>
    </row>
    <row r="3" spans="1:21">
      <c r="A3" s="19" t="s">
        <v>2850</v>
      </c>
      <c r="B3" s="19" t="s">
        <v>2851</v>
      </c>
      <c r="C3" s="19" t="s">
        <v>2852</v>
      </c>
      <c r="D3" s="19" t="s">
        <v>2547</v>
      </c>
      <c r="E3" s="19">
        <v>22</v>
      </c>
      <c r="F3" s="19" t="s">
        <v>2853</v>
      </c>
      <c r="G3" s="19">
        <v>2</v>
      </c>
      <c r="H3" s="19">
        <v>2</v>
      </c>
      <c r="J3" s="19">
        <v>125</v>
      </c>
      <c r="K3" s="19" t="s">
        <v>2854</v>
      </c>
      <c r="L3" s="19" t="s">
        <v>2855</v>
      </c>
      <c r="M3" s="23" t="s">
        <v>2856</v>
      </c>
      <c r="N3" s="19" t="s">
        <v>2857</v>
      </c>
      <c r="O3" s="25" t="s">
        <v>2858</v>
      </c>
      <c r="Q3" s="24" t="s">
        <v>2543</v>
      </c>
      <c r="R3" s="19">
        <v>13</v>
      </c>
      <c r="T3" s="19" t="s">
        <v>2859</v>
      </c>
    </row>
    <row r="4" spans="1:21">
      <c r="A4" s="19" t="s">
        <v>2860</v>
      </c>
      <c r="C4" s="19" t="s">
        <v>2861</v>
      </c>
      <c r="D4" s="19" t="s">
        <v>2519</v>
      </c>
      <c r="E4" s="19">
        <v>23</v>
      </c>
      <c r="G4" s="19">
        <v>3</v>
      </c>
      <c r="H4" s="19">
        <v>3</v>
      </c>
      <c r="J4" s="19">
        <v>165</v>
      </c>
      <c r="K4" s="19" t="s">
        <v>2862</v>
      </c>
      <c r="L4" s="19" t="s">
        <v>2863</v>
      </c>
      <c r="M4" s="23" t="s">
        <v>2864</v>
      </c>
      <c r="N4" s="19" t="s">
        <v>2865</v>
      </c>
      <c r="Q4" s="24" t="s">
        <v>2556</v>
      </c>
      <c r="R4" s="19">
        <v>14</v>
      </c>
    </row>
    <row r="5" spans="1:21">
      <c r="A5" s="19" t="s">
        <v>2481</v>
      </c>
      <c r="C5" s="19" t="s">
        <v>2866</v>
      </c>
      <c r="E5" s="19">
        <v>24</v>
      </c>
      <c r="G5" s="19">
        <v>4</v>
      </c>
      <c r="H5" s="19">
        <v>4</v>
      </c>
      <c r="L5" s="19" t="s">
        <v>2867</v>
      </c>
      <c r="M5" s="23" t="s">
        <v>2868</v>
      </c>
      <c r="N5" s="19" t="s">
        <v>2869</v>
      </c>
      <c r="Q5" s="24" t="s">
        <v>2567</v>
      </c>
      <c r="R5" s="19">
        <v>15</v>
      </c>
    </row>
    <row r="6" spans="1:21">
      <c r="C6" s="19" t="s">
        <v>2870</v>
      </c>
      <c r="E6" s="19">
        <v>25</v>
      </c>
      <c r="G6" s="19">
        <v>5</v>
      </c>
      <c r="H6" s="19">
        <v>5</v>
      </c>
      <c r="L6" s="19" t="s">
        <v>2871</v>
      </c>
      <c r="M6" s="23" t="s">
        <v>2872</v>
      </c>
      <c r="N6" s="19" t="s">
        <v>2873</v>
      </c>
      <c r="Q6" s="24"/>
      <c r="R6" s="19">
        <v>16</v>
      </c>
    </row>
    <row r="7" spans="1:21">
      <c r="E7" s="19">
        <v>26</v>
      </c>
      <c r="G7" s="19">
        <v>6</v>
      </c>
      <c r="H7" s="19">
        <v>6</v>
      </c>
      <c r="L7" s="19" t="s">
        <v>2874</v>
      </c>
      <c r="M7" s="23" t="s">
        <v>2875</v>
      </c>
      <c r="N7" s="19" t="s">
        <v>2876</v>
      </c>
      <c r="R7" s="19">
        <v>17</v>
      </c>
    </row>
    <row r="8" spans="1:21">
      <c r="E8" s="19">
        <v>27</v>
      </c>
      <c r="G8" s="19">
        <v>7</v>
      </c>
      <c r="H8" s="19">
        <v>7</v>
      </c>
      <c r="L8" s="19" t="s">
        <v>2877</v>
      </c>
      <c r="M8" s="23" t="s">
        <v>2878</v>
      </c>
      <c r="N8" s="19" t="s">
        <v>2879</v>
      </c>
      <c r="R8" s="19">
        <v>18</v>
      </c>
    </row>
    <row r="9" spans="1:21">
      <c r="E9" s="19">
        <v>28</v>
      </c>
      <c r="G9" s="19">
        <v>8</v>
      </c>
      <c r="H9" s="19">
        <v>8</v>
      </c>
      <c r="L9" s="19" t="s">
        <v>2880</v>
      </c>
      <c r="M9" s="23" t="s">
        <v>2881</v>
      </c>
      <c r="N9" s="19" t="s">
        <v>2882</v>
      </c>
      <c r="R9" s="19">
        <v>19</v>
      </c>
    </row>
    <row r="10" spans="1:21">
      <c r="E10" s="19">
        <v>29</v>
      </c>
      <c r="G10" s="19">
        <v>9</v>
      </c>
      <c r="H10" s="19">
        <v>9</v>
      </c>
      <c r="L10" s="19" t="s">
        <v>2883</v>
      </c>
      <c r="M10" s="23" t="s">
        <v>2884</v>
      </c>
      <c r="N10" s="19" t="s">
        <v>2885</v>
      </c>
      <c r="R10" s="19">
        <v>20</v>
      </c>
    </row>
    <row r="11" spans="1:21">
      <c r="E11" s="19">
        <v>30</v>
      </c>
      <c r="G11" s="19">
        <v>10</v>
      </c>
      <c r="H11" s="19">
        <v>10</v>
      </c>
      <c r="L11" s="19" t="s">
        <v>2886</v>
      </c>
      <c r="M11" s="23" t="s">
        <v>2887</v>
      </c>
      <c r="N11" s="19" t="s">
        <v>2888</v>
      </c>
      <c r="R11" s="19">
        <v>21</v>
      </c>
    </row>
    <row r="12" spans="1:21">
      <c r="E12" s="19">
        <v>31</v>
      </c>
      <c r="G12" s="19">
        <v>11</v>
      </c>
      <c r="H12" s="19">
        <v>11</v>
      </c>
      <c r="L12" s="19" t="s">
        <v>2889</v>
      </c>
      <c r="M12" s="23" t="s">
        <v>2890</v>
      </c>
      <c r="N12" s="19" t="s">
        <v>2891</v>
      </c>
      <c r="R12" s="19">
        <v>22</v>
      </c>
    </row>
    <row r="13" spans="1:21">
      <c r="E13" s="19">
        <v>1</v>
      </c>
      <c r="G13" s="19">
        <v>12</v>
      </c>
      <c r="H13" s="19">
        <v>12</v>
      </c>
      <c r="L13" s="19" t="s">
        <v>1777</v>
      </c>
      <c r="M13" s="23" t="s">
        <v>2892</v>
      </c>
      <c r="R13" s="19">
        <v>23</v>
      </c>
    </row>
    <row r="14" spans="1:21">
      <c r="E14" s="19">
        <v>2</v>
      </c>
      <c r="G14" s="19">
        <v>13</v>
      </c>
      <c r="M14" s="23" t="s">
        <v>2893</v>
      </c>
      <c r="R14" s="19">
        <v>24</v>
      </c>
    </row>
    <row r="15" spans="1:21">
      <c r="E15" s="19">
        <v>3</v>
      </c>
      <c r="G15" s="19">
        <v>14</v>
      </c>
      <c r="M15" s="23" t="s">
        <v>2894</v>
      </c>
      <c r="R15" s="19">
        <v>25</v>
      </c>
    </row>
    <row r="16" spans="1:21">
      <c r="E16" s="19">
        <v>4</v>
      </c>
      <c r="G16" s="19">
        <v>15</v>
      </c>
      <c r="M16" s="23" t="s">
        <v>2895</v>
      </c>
      <c r="R16" s="19">
        <v>26</v>
      </c>
    </row>
    <row r="17" spans="5:18">
      <c r="E17" s="19">
        <v>5</v>
      </c>
      <c r="G17" s="19">
        <v>16</v>
      </c>
      <c r="M17" s="23" t="s">
        <v>2896</v>
      </c>
      <c r="R17" s="19">
        <v>27</v>
      </c>
    </row>
    <row r="18" spans="5:18">
      <c r="E18" s="19">
        <v>6</v>
      </c>
      <c r="G18" s="19">
        <v>17</v>
      </c>
      <c r="M18" s="23" t="s">
        <v>2897</v>
      </c>
      <c r="R18" s="19">
        <v>28</v>
      </c>
    </row>
    <row r="19" spans="5:18">
      <c r="E19" s="19">
        <v>7</v>
      </c>
      <c r="G19" s="19">
        <v>18</v>
      </c>
      <c r="M19" s="23" t="s">
        <v>2898</v>
      </c>
      <c r="R19" s="19">
        <v>29</v>
      </c>
    </row>
    <row r="20" spans="5:18">
      <c r="E20" s="19">
        <v>8</v>
      </c>
      <c r="G20" s="19">
        <v>19</v>
      </c>
      <c r="M20" s="23" t="s">
        <v>2899</v>
      </c>
      <c r="R20" s="19">
        <v>30</v>
      </c>
    </row>
    <row r="21" spans="5:18">
      <c r="E21" s="19">
        <v>9</v>
      </c>
      <c r="G21" s="19">
        <v>20</v>
      </c>
      <c r="R21" s="19">
        <v>31</v>
      </c>
    </row>
    <row r="22" spans="5:18">
      <c r="E22" s="19">
        <v>10</v>
      </c>
      <c r="G22" s="19">
        <v>21</v>
      </c>
      <c r="R22" s="19">
        <v>32</v>
      </c>
    </row>
    <row r="23" spans="5:18">
      <c r="G23" s="19">
        <v>22</v>
      </c>
      <c r="R23" s="19">
        <v>33</v>
      </c>
    </row>
    <row r="24" spans="5:18">
      <c r="G24" s="19">
        <v>23</v>
      </c>
      <c r="R24" s="19">
        <v>34</v>
      </c>
    </row>
    <row r="25" spans="5:18">
      <c r="G25" s="19">
        <v>24</v>
      </c>
      <c r="R25" s="19">
        <v>35</v>
      </c>
    </row>
    <row r="26" spans="5:18">
      <c r="G26" s="19">
        <v>25</v>
      </c>
      <c r="R26" s="19">
        <v>36</v>
      </c>
    </row>
    <row r="27" spans="5:18">
      <c r="G27" s="19">
        <v>26</v>
      </c>
      <c r="R27" s="19">
        <v>37</v>
      </c>
    </row>
    <row r="28" spans="5:18">
      <c r="G28" s="19">
        <v>27</v>
      </c>
      <c r="R28" s="19">
        <v>38</v>
      </c>
    </row>
    <row r="29" spans="5:18">
      <c r="G29" s="19">
        <v>28</v>
      </c>
      <c r="R29" s="19">
        <v>39</v>
      </c>
    </row>
    <row r="30" spans="5:18">
      <c r="G30" s="19">
        <v>29</v>
      </c>
      <c r="R30" s="19">
        <v>40</v>
      </c>
    </row>
    <row r="31" spans="5:18">
      <c r="G31" s="19">
        <v>30</v>
      </c>
      <c r="R31" s="19">
        <v>41</v>
      </c>
    </row>
    <row r="32" spans="5:18">
      <c r="G32" s="19">
        <v>31</v>
      </c>
      <c r="R32" s="19">
        <v>42</v>
      </c>
    </row>
    <row r="33" spans="18:18">
      <c r="R33" s="19">
        <v>43</v>
      </c>
    </row>
    <row r="34" spans="18:18">
      <c r="R34" s="19">
        <v>44</v>
      </c>
    </row>
    <row r="35" spans="18:18">
      <c r="R35" s="19">
        <v>45</v>
      </c>
    </row>
    <row r="36" spans="18:18">
      <c r="R36" s="19">
        <v>46</v>
      </c>
    </row>
    <row r="37" spans="18:18">
      <c r="R37" s="19">
        <v>99</v>
      </c>
    </row>
  </sheetData>
  <phoneticPr fontId="116"/>
  <hyperlinks>
    <hyperlink ref="A1" location="トップ!A1" display="トップ"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53"/>
  <sheetViews>
    <sheetView zoomScaleNormal="100" zoomScaleSheetLayoutView="100" workbookViewId="0">
      <selection activeCell="B1" sqref="B1"/>
    </sheetView>
  </sheetViews>
  <sheetFormatPr defaultColWidth="9.125" defaultRowHeight="11.25"/>
  <cols>
    <col min="1" max="2" width="1.75" style="254" customWidth="1"/>
    <col min="3" max="3" width="2.875" style="254" customWidth="1"/>
    <col min="4" max="4" width="3" style="254" customWidth="1"/>
    <col min="5" max="6" width="3.625" style="254" customWidth="1"/>
    <col min="7" max="7" width="3.25" style="254" customWidth="1"/>
    <col min="8" max="8" width="1.375" style="254" customWidth="1"/>
    <col min="9" max="9" width="2.125" style="254" customWidth="1"/>
    <col min="10" max="11" width="3" style="254" customWidth="1"/>
    <col min="12" max="14" width="2.875" style="254" customWidth="1"/>
    <col min="15" max="15" width="3" style="254" customWidth="1"/>
    <col min="16" max="16" width="2.875" style="254" customWidth="1"/>
    <col min="17" max="17" width="2.125" style="254" customWidth="1"/>
    <col min="18" max="19" width="2.75" style="254" customWidth="1"/>
    <col min="20" max="21" width="2.125" style="254" customWidth="1"/>
    <col min="22" max="59" width="2.875" style="254" customWidth="1"/>
    <col min="60" max="256" width="9" style="254" customWidth="1"/>
    <col min="257" max="258" width="1.75" style="254" customWidth="1"/>
    <col min="259" max="259" width="2.875" style="254" customWidth="1"/>
    <col min="260" max="260" width="3" style="254" customWidth="1"/>
    <col min="261" max="262" width="3.625" style="254" customWidth="1"/>
    <col min="263" max="263" width="3.25" style="254" customWidth="1"/>
    <col min="264" max="264" width="1.375" style="254" customWidth="1"/>
    <col min="265" max="265" width="2.125" style="254" customWidth="1"/>
    <col min="266" max="267" width="3" style="254" customWidth="1"/>
    <col min="268" max="270" width="2.875" style="254" customWidth="1"/>
    <col min="271" max="271" width="3" style="254" customWidth="1"/>
    <col min="272" max="272" width="2.875" style="254" customWidth="1"/>
    <col min="273" max="273" width="2.125" style="254" customWidth="1"/>
    <col min="274" max="275" width="2.75" style="254" customWidth="1"/>
    <col min="276" max="277" width="2.125" style="254" customWidth="1"/>
    <col min="278" max="315" width="2.875" style="254" customWidth="1"/>
    <col min="316" max="512" width="9" style="254" customWidth="1"/>
    <col min="513" max="514" width="1.75" style="254" customWidth="1"/>
    <col min="515" max="515" width="2.875" style="254" customWidth="1"/>
    <col min="516" max="516" width="3" style="254" customWidth="1"/>
    <col min="517" max="518" width="3.625" style="254" customWidth="1"/>
    <col min="519" max="519" width="3.25" style="254" customWidth="1"/>
    <col min="520" max="520" width="1.375" style="254" customWidth="1"/>
    <col min="521" max="521" width="2.125" style="254" customWidth="1"/>
    <col min="522" max="523" width="3" style="254" customWidth="1"/>
    <col min="524" max="526" width="2.875" style="254" customWidth="1"/>
    <col min="527" max="527" width="3" style="254" customWidth="1"/>
    <col min="528" max="528" width="2.875" style="254" customWidth="1"/>
    <col min="529" max="529" width="2.125" style="254" customWidth="1"/>
    <col min="530" max="531" width="2.75" style="254" customWidth="1"/>
    <col min="532" max="533" width="2.125" style="254" customWidth="1"/>
    <col min="534" max="571" width="2.875" style="254" customWidth="1"/>
    <col min="572" max="768" width="9" style="254" customWidth="1"/>
    <col min="769" max="770" width="1.75" style="254" customWidth="1"/>
    <col min="771" max="771" width="2.875" style="254" customWidth="1"/>
    <col min="772" max="772" width="3" style="254" customWidth="1"/>
    <col min="773" max="774" width="3.625" style="254" customWidth="1"/>
    <col min="775" max="775" width="3.25" style="254" customWidth="1"/>
    <col min="776" max="776" width="1.375" style="254" customWidth="1"/>
    <col min="777" max="777" width="2.125" style="254" customWidth="1"/>
    <col min="778" max="779" width="3" style="254" customWidth="1"/>
    <col min="780" max="782" width="2.875" style="254" customWidth="1"/>
    <col min="783" max="783" width="3" style="254" customWidth="1"/>
    <col min="784" max="784" width="2.875" style="254" customWidth="1"/>
    <col min="785" max="785" width="2.125" style="254" customWidth="1"/>
    <col min="786" max="787" width="2.75" style="254" customWidth="1"/>
    <col min="788" max="789" width="2.125" style="254" customWidth="1"/>
    <col min="790" max="827" width="2.875" style="254" customWidth="1"/>
    <col min="828" max="1024" width="9" style="254" customWidth="1"/>
    <col min="1025" max="1026" width="1.75" style="254" customWidth="1"/>
    <col min="1027" max="1027" width="2.875" style="254" customWidth="1"/>
    <col min="1028" max="1028" width="3" style="254" customWidth="1"/>
    <col min="1029" max="1030" width="3.625" style="254" customWidth="1"/>
    <col min="1031" max="1031" width="3.25" style="254" customWidth="1"/>
    <col min="1032" max="1032" width="1.375" style="254" customWidth="1"/>
    <col min="1033" max="1033" width="2.125" style="254" customWidth="1"/>
    <col min="1034" max="1035" width="3" style="254" customWidth="1"/>
    <col min="1036" max="1038" width="2.875" style="254" customWidth="1"/>
    <col min="1039" max="1039" width="3" style="254" customWidth="1"/>
    <col min="1040" max="1040" width="2.875" style="254" customWidth="1"/>
    <col min="1041" max="1041" width="2.125" style="254" customWidth="1"/>
    <col min="1042" max="1043" width="2.75" style="254" customWidth="1"/>
    <col min="1044" max="1045" width="2.125" style="254" customWidth="1"/>
    <col min="1046" max="1083" width="2.875" style="254" customWidth="1"/>
    <col min="1084" max="1280" width="9" style="254" customWidth="1"/>
    <col min="1281" max="1282" width="1.75" style="254" customWidth="1"/>
    <col min="1283" max="1283" width="2.875" style="254" customWidth="1"/>
    <col min="1284" max="1284" width="3" style="254" customWidth="1"/>
    <col min="1285" max="1286" width="3.625" style="254" customWidth="1"/>
    <col min="1287" max="1287" width="3.25" style="254" customWidth="1"/>
    <col min="1288" max="1288" width="1.375" style="254" customWidth="1"/>
    <col min="1289" max="1289" width="2.125" style="254" customWidth="1"/>
    <col min="1290" max="1291" width="3" style="254" customWidth="1"/>
    <col min="1292" max="1294" width="2.875" style="254" customWidth="1"/>
    <col min="1295" max="1295" width="3" style="254" customWidth="1"/>
    <col min="1296" max="1296" width="2.875" style="254" customWidth="1"/>
    <col min="1297" max="1297" width="2.125" style="254" customWidth="1"/>
    <col min="1298" max="1299" width="2.75" style="254" customWidth="1"/>
    <col min="1300" max="1301" width="2.125" style="254" customWidth="1"/>
    <col min="1302" max="1339" width="2.875" style="254" customWidth="1"/>
    <col min="1340" max="1536" width="9" style="254" customWidth="1"/>
    <col min="1537" max="1538" width="1.75" style="254" customWidth="1"/>
    <col min="1539" max="1539" width="2.875" style="254" customWidth="1"/>
    <col min="1540" max="1540" width="3" style="254" customWidth="1"/>
    <col min="1541" max="1542" width="3.625" style="254" customWidth="1"/>
    <col min="1543" max="1543" width="3.25" style="254" customWidth="1"/>
    <col min="1544" max="1544" width="1.375" style="254" customWidth="1"/>
    <col min="1545" max="1545" width="2.125" style="254" customWidth="1"/>
    <col min="1546" max="1547" width="3" style="254" customWidth="1"/>
    <col min="1548" max="1550" width="2.875" style="254" customWidth="1"/>
    <col min="1551" max="1551" width="3" style="254" customWidth="1"/>
    <col min="1552" max="1552" width="2.875" style="254" customWidth="1"/>
    <col min="1553" max="1553" width="2.125" style="254" customWidth="1"/>
    <col min="1554" max="1555" width="2.75" style="254" customWidth="1"/>
    <col min="1556" max="1557" width="2.125" style="254" customWidth="1"/>
    <col min="1558" max="1595" width="2.875" style="254" customWidth="1"/>
    <col min="1596" max="1792" width="9" style="254" customWidth="1"/>
    <col min="1793" max="1794" width="1.75" style="254" customWidth="1"/>
    <col min="1795" max="1795" width="2.875" style="254" customWidth="1"/>
    <col min="1796" max="1796" width="3" style="254" customWidth="1"/>
    <col min="1797" max="1798" width="3.625" style="254" customWidth="1"/>
    <col min="1799" max="1799" width="3.25" style="254" customWidth="1"/>
    <col min="1800" max="1800" width="1.375" style="254" customWidth="1"/>
    <col min="1801" max="1801" width="2.125" style="254" customWidth="1"/>
    <col min="1802" max="1803" width="3" style="254" customWidth="1"/>
    <col min="1804" max="1806" width="2.875" style="254" customWidth="1"/>
    <col min="1807" max="1807" width="3" style="254" customWidth="1"/>
    <col min="1808" max="1808" width="2.875" style="254" customWidth="1"/>
    <col min="1809" max="1809" width="2.125" style="254" customWidth="1"/>
    <col min="1810" max="1811" width="2.75" style="254" customWidth="1"/>
    <col min="1812" max="1813" width="2.125" style="254" customWidth="1"/>
    <col min="1814" max="1851" width="2.875" style="254" customWidth="1"/>
    <col min="1852" max="2048" width="9" style="254" customWidth="1"/>
    <col min="2049" max="2050" width="1.75" style="254" customWidth="1"/>
    <col min="2051" max="2051" width="2.875" style="254" customWidth="1"/>
    <col min="2052" max="2052" width="3" style="254" customWidth="1"/>
    <col min="2053" max="2054" width="3.625" style="254" customWidth="1"/>
    <col min="2055" max="2055" width="3.25" style="254" customWidth="1"/>
    <col min="2056" max="2056" width="1.375" style="254" customWidth="1"/>
    <col min="2057" max="2057" width="2.125" style="254" customWidth="1"/>
    <col min="2058" max="2059" width="3" style="254" customWidth="1"/>
    <col min="2060" max="2062" width="2.875" style="254" customWidth="1"/>
    <col min="2063" max="2063" width="3" style="254" customWidth="1"/>
    <col min="2064" max="2064" width="2.875" style="254" customWidth="1"/>
    <col min="2065" max="2065" width="2.125" style="254" customWidth="1"/>
    <col min="2066" max="2067" width="2.75" style="254" customWidth="1"/>
    <col min="2068" max="2069" width="2.125" style="254" customWidth="1"/>
    <col min="2070" max="2107" width="2.875" style="254" customWidth="1"/>
    <col min="2108" max="2304" width="9" style="254" customWidth="1"/>
    <col min="2305" max="2306" width="1.75" style="254" customWidth="1"/>
    <col min="2307" max="2307" width="2.875" style="254" customWidth="1"/>
    <col min="2308" max="2308" width="3" style="254" customWidth="1"/>
    <col min="2309" max="2310" width="3.625" style="254" customWidth="1"/>
    <col min="2311" max="2311" width="3.25" style="254" customWidth="1"/>
    <col min="2312" max="2312" width="1.375" style="254" customWidth="1"/>
    <col min="2313" max="2313" width="2.125" style="254" customWidth="1"/>
    <col min="2314" max="2315" width="3" style="254" customWidth="1"/>
    <col min="2316" max="2318" width="2.875" style="254" customWidth="1"/>
    <col min="2319" max="2319" width="3" style="254" customWidth="1"/>
    <col min="2320" max="2320" width="2.875" style="254" customWidth="1"/>
    <col min="2321" max="2321" width="2.125" style="254" customWidth="1"/>
    <col min="2322" max="2323" width="2.75" style="254" customWidth="1"/>
    <col min="2324" max="2325" width="2.125" style="254" customWidth="1"/>
    <col min="2326" max="2363" width="2.875" style="254" customWidth="1"/>
    <col min="2364" max="2560" width="9" style="254" customWidth="1"/>
    <col min="2561" max="2562" width="1.75" style="254" customWidth="1"/>
    <col min="2563" max="2563" width="2.875" style="254" customWidth="1"/>
    <col min="2564" max="2564" width="3" style="254" customWidth="1"/>
    <col min="2565" max="2566" width="3.625" style="254" customWidth="1"/>
    <col min="2567" max="2567" width="3.25" style="254" customWidth="1"/>
    <col min="2568" max="2568" width="1.375" style="254" customWidth="1"/>
    <col min="2569" max="2569" width="2.125" style="254" customWidth="1"/>
    <col min="2570" max="2571" width="3" style="254" customWidth="1"/>
    <col min="2572" max="2574" width="2.875" style="254" customWidth="1"/>
    <col min="2575" max="2575" width="3" style="254" customWidth="1"/>
    <col min="2576" max="2576" width="2.875" style="254" customWidth="1"/>
    <col min="2577" max="2577" width="2.125" style="254" customWidth="1"/>
    <col min="2578" max="2579" width="2.75" style="254" customWidth="1"/>
    <col min="2580" max="2581" width="2.125" style="254" customWidth="1"/>
    <col min="2582" max="2619" width="2.875" style="254" customWidth="1"/>
    <col min="2620" max="2816" width="9" style="254" customWidth="1"/>
    <col min="2817" max="2818" width="1.75" style="254" customWidth="1"/>
    <col min="2819" max="2819" width="2.875" style="254" customWidth="1"/>
    <col min="2820" max="2820" width="3" style="254" customWidth="1"/>
    <col min="2821" max="2822" width="3.625" style="254" customWidth="1"/>
    <col min="2823" max="2823" width="3.25" style="254" customWidth="1"/>
    <col min="2824" max="2824" width="1.375" style="254" customWidth="1"/>
    <col min="2825" max="2825" width="2.125" style="254" customWidth="1"/>
    <col min="2826" max="2827" width="3" style="254" customWidth="1"/>
    <col min="2828" max="2830" width="2.875" style="254" customWidth="1"/>
    <col min="2831" max="2831" width="3" style="254" customWidth="1"/>
    <col min="2832" max="2832" width="2.875" style="254" customWidth="1"/>
    <col min="2833" max="2833" width="2.125" style="254" customWidth="1"/>
    <col min="2834" max="2835" width="2.75" style="254" customWidth="1"/>
    <col min="2836" max="2837" width="2.125" style="254" customWidth="1"/>
    <col min="2838" max="2875" width="2.875" style="254" customWidth="1"/>
    <col min="2876" max="3072" width="9" style="254" customWidth="1"/>
    <col min="3073" max="3074" width="1.75" style="254" customWidth="1"/>
    <col min="3075" max="3075" width="2.875" style="254" customWidth="1"/>
    <col min="3076" max="3076" width="3" style="254" customWidth="1"/>
    <col min="3077" max="3078" width="3.625" style="254" customWidth="1"/>
    <col min="3079" max="3079" width="3.25" style="254" customWidth="1"/>
    <col min="3080" max="3080" width="1.375" style="254" customWidth="1"/>
    <col min="3081" max="3081" width="2.125" style="254" customWidth="1"/>
    <col min="3082" max="3083" width="3" style="254" customWidth="1"/>
    <col min="3084" max="3086" width="2.875" style="254" customWidth="1"/>
    <col min="3087" max="3087" width="3" style="254" customWidth="1"/>
    <col min="3088" max="3088" width="2.875" style="254" customWidth="1"/>
    <col min="3089" max="3089" width="2.125" style="254" customWidth="1"/>
    <col min="3090" max="3091" width="2.75" style="254" customWidth="1"/>
    <col min="3092" max="3093" width="2.125" style="254" customWidth="1"/>
    <col min="3094" max="3131" width="2.875" style="254" customWidth="1"/>
    <col min="3132" max="3328" width="9" style="254" customWidth="1"/>
    <col min="3329" max="3330" width="1.75" style="254" customWidth="1"/>
    <col min="3331" max="3331" width="2.875" style="254" customWidth="1"/>
    <col min="3332" max="3332" width="3" style="254" customWidth="1"/>
    <col min="3333" max="3334" width="3.625" style="254" customWidth="1"/>
    <col min="3335" max="3335" width="3.25" style="254" customWidth="1"/>
    <col min="3336" max="3336" width="1.375" style="254" customWidth="1"/>
    <col min="3337" max="3337" width="2.125" style="254" customWidth="1"/>
    <col min="3338" max="3339" width="3" style="254" customWidth="1"/>
    <col min="3340" max="3342" width="2.875" style="254" customWidth="1"/>
    <col min="3343" max="3343" width="3" style="254" customWidth="1"/>
    <col min="3344" max="3344" width="2.875" style="254" customWidth="1"/>
    <col min="3345" max="3345" width="2.125" style="254" customWidth="1"/>
    <col min="3346" max="3347" width="2.75" style="254" customWidth="1"/>
    <col min="3348" max="3349" width="2.125" style="254" customWidth="1"/>
    <col min="3350" max="3387" width="2.875" style="254" customWidth="1"/>
    <col min="3388" max="3584" width="9" style="254" customWidth="1"/>
    <col min="3585" max="3586" width="1.75" style="254" customWidth="1"/>
    <col min="3587" max="3587" width="2.875" style="254" customWidth="1"/>
    <col min="3588" max="3588" width="3" style="254" customWidth="1"/>
    <col min="3589" max="3590" width="3.625" style="254" customWidth="1"/>
    <col min="3591" max="3591" width="3.25" style="254" customWidth="1"/>
    <col min="3592" max="3592" width="1.375" style="254" customWidth="1"/>
    <col min="3593" max="3593" width="2.125" style="254" customWidth="1"/>
    <col min="3594" max="3595" width="3" style="254" customWidth="1"/>
    <col min="3596" max="3598" width="2.875" style="254" customWidth="1"/>
    <col min="3599" max="3599" width="3" style="254" customWidth="1"/>
    <col min="3600" max="3600" width="2.875" style="254" customWidth="1"/>
    <col min="3601" max="3601" width="2.125" style="254" customWidth="1"/>
    <col min="3602" max="3603" width="2.75" style="254" customWidth="1"/>
    <col min="3604" max="3605" width="2.125" style="254" customWidth="1"/>
    <col min="3606" max="3643" width="2.875" style="254" customWidth="1"/>
    <col min="3644" max="3840" width="9" style="254" customWidth="1"/>
    <col min="3841" max="3842" width="1.75" style="254" customWidth="1"/>
    <col min="3843" max="3843" width="2.875" style="254" customWidth="1"/>
    <col min="3844" max="3844" width="3" style="254" customWidth="1"/>
    <col min="3845" max="3846" width="3.625" style="254" customWidth="1"/>
    <col min="3847" max="3847" width="3.25" style="254" customWidth="1"/>
    <col min="3848" max="3848" width="1.375" style="254" customWidth="1"/>
    <col min="3849" max="3849" width="2.125" style="254" customWidth="1"/>
    <col min="3850" max="3851" width="3" style="254" customWidth="1"/>
    <col min="3852" max="3854" width="2.875" style="254" customWidth="1"/>
    <col min="3855" max="3855" width="3" style="254" customWidth="1"/>
    <col min="3856" max="3856" width="2.875" style="254" customWidth="1"/>
    <col min="3857" max="3857" width="2.125" style="254" customWidth="1"/>
    <col min="3858" max="3859" width="2.75" style="254" customWidth="1"/>
    <col min="3860" max="3861" width="2.125" style="254" customWidth="1"/>
    <col min="3862" max="3899" width="2.875" style="254" customWidth="1"/>
    <col min="3900" max="4096" width="9" style="254" customWidth="1"/>
    <col min="4097" max="4098" width="1.75" style="254" customWidth="1"/>
    <col min="4099" max="4099" width="2.875" style="254" customWidth="1"/>
    <col min="4100" max="4100" width="3" style="254" customWidth="1"/>
    <col min="4101" max="4102" width="3.625" style="254" customWidth="1"/>
    <col min="4103" max="4103" width="3.25" style="254" customWidth="1"/>
    <col min="4104" max="4104" width="1.375" style="254" customWidth="1"/>
    <col min="4105" max="4105" width="2.125" style="254" customWidth="1"/>
    <col min="4106" max="4107" width="3" style="254" customWidth="1"/>
    <col min="4108" max="4110" width="2.875" style="254" customWidth="1"/>
    <col min="4111" max="4111" width="3" style="254" customWidth="1"/>
    <col min="4112" max="4112" width="2.875" style="254" customWidth="1"/>
    <col min="4113" max="4113" width="2.125" style="254" customWidth="1"/>
    <col min="4114" max="4115" width="2.75" style="254" customWidth="1"/>
    <col min="4116" max="4117" width="2.125" style="254" customWidth="1"/>
    <col min="4118" max="4155" width="2.875" style="254" customWidth="1"/>
    <col min="4156" max="4352" width="9" style="254" customWidth="1"/>
    <col min="4353" max="4354" width="1.75" style="254" customWidth="1"/>
    <col min="4355" max="4355" width="2.875" style="254" customWidth="1"/>
    <col min="4356" max="4356" width="3" style="254" customWidth="1"/>
    <col min="4357" max="4358" width="3.625" style="254" customWidth="1"/>
    <col min="4359" max="4359" width="3.25" style="254" customWidth="1"/>
    <col min="4360" max="4360" width="1.375" style="254" customWidth="1"/>
    <col min="4361" max="4361" width="2.125" style="254" customWidth="1"/>
    <col min="4362" max="4363" width="3" style="254" customWidth="1"/>
    <col min="4364" max="4366" width="2.875" style="254" customWidth="1"/>
    <col min="4367" max="4367" width="3" style="254" customWidth="1"/>
    <col min="4368" max="4368" width="2.875" style="254" customWidth="1"/>
    <col min="4369" max="4369" width="2.125" style="254" customWidth="1"/>
    <col min="4370" max="4371" width="2.75" style="254" customWidth="1"/>
    <col min="4372" max="4373" width="2.125" style="254" customWidth="1"/>
    <col min="4374" max="4411" width="2.875" style="254" customWidth="1"/>
    <col min="4412" max="4608" width="9" style="254" customWidth="1"/>
    <col min="4609" max="4610" width="1.75" style="254" customWidth="1"/>
    <col min="4611" max="4611" width="2.875" style="254" customWidth="1"/>
    <col min="4612" max="4612" width="3" style="254" customWidth="1"/>
    <col min="4613" max="4614" width="3.625" style="254" customWidth="1"/>
    <col min="4615" max="4615" width="3.25" style="254" customWidth="1"/>
    <col min="4616" max="4616" width="1.375" style="254" customWidth="1"/>
    <col min="4617" max="4617" width="2.125" style="254" customWidth="1"/>
    <col min="4618" max="4619" width="3" style="254" customWidth="1"/>
    <col min="4620" max="4622" width="2.875" style="254" customWidth="1"/>
    <col min="4623" max="4623" width="3" style="254" customWidth="1"/>
    <col min="4624" max="4624" width="2.875" style="254" customWidth="1"/>
    <col min="4625" max="4625" width="2.125" style="254" customWidth="1"/>
    <col min="4626" max="4627" width="2.75" style="254" customWidth="1"/>
    <col min="4628" max="4629" width="2.125" style="254" customWidth="1"/>
    <col min="4630" max="4667" width="2.875" style="254" customWidth="1"/>
    <col min="4668" max="4864" width="9" style="254" customWidth="1"/>
    <col min="4865" max="4866" width="1.75" style="254" customWidth="1"/>
    <col min="4867" max="4867" width="2.875" style="254" customWidth="1"/>
    <col min="4868" max="4868" width="3" style="254" customWidth="1"/>
    <col min="4869" max="4870" width="3.625" style="254" customWidth="1"/>
    <col min="4871" max="4871" width="3.25" style="254" customWidth="1"/>
    <col min="4872" max="4872" width="1.375" style="254" customWidth="1"/>
    <col min="4873" max="4873" width="2.125" style="254" customWidth="1"/>
    <col min="4874" max="4875" width="3" style="254" customWidth="1"/>
    <col min="4876" max="4878" width="2.875" style="254" customWidth="1"/>
    <col min="4879" max="4879" width="3" style="254" customWidth="1"/>
    <col min="4880" max="4880" width="2.875" style="254" customWidth="1"/>
    <col min="4881" max="4881" width="2.125" style="254" customWidth="1"/>
    <col min="4882" max="4883" width="2.75" style="254" customWidth="1"/>
    <col min="4884" max="4885" width="2.125" style="254" customWidth="1"/>
    <col min="4886" max="4923" width="2.875" style="254" customWidth="1"/>
    <col min="4924" max="5120" width="9" style="254" customWidth="1"/>
    <col min="5121" max="5122" width="1.75" style="254" customWidth="1"/>
    <col min="5123" max="5123" width="2.875" style="254" customWidth="1"/>
    <col min="5124" max="5124" width="3" style="254" customWidth="1"/>
    <col min="5125" max="5126" width="3.625" style="254" customWidth="1"/>
    <col min="5127" max="5127" width="3.25" style="254" customWidth="1"/>
    <col min="5128" max="5128" width="1.375" style="254" customWidth="1"/>
    <col min="5129" max="5129" width="2.125" style="254" customWidth="1"/>
    <col min="5130" max="5131" width="3" style="254" customWidth="1"/>
    <col min="5132" max="5134" width="2.875" style="254" customWidth="1"/>
    <col min="5135" max="5135" width="3" style="254" customWidth="1"/>
    <col min="5136" max="5136" width="2.875" style="254" customWidth="1"/>
    <col min="5137" max="5137" width="2.125" style="254" customWidth="1"/>
    <col min="5138" max="5139" width="2.75" style="254" customWidth="1"/>
    <col min="5140" max="5141" width="2.125" style="254" customWidth="1"/>
    <col min="5142" max="5179" width="2.875" style="254" customWidth="1"/>
    <col min="5180" max="5376" width="9" style="254" customWidth="1"/>
    <col min="5377" max="5378" width="1.75" style="254" customWidth="1"/>
    <col min="5379" max="5379" width="2.875" style="254" customWidth="1"/>
    <col min="5380" max="5380" width="3" style="254" customWidth="1"/>
    <col min="5381" max="5382" width="3.625" style="254" customWidth="1"/>
    <col min="5383" max="5383" width="3.25" style="254" customWidth="1"/>
    <col min="5384" max="5384" width="1.375" style="254" customWidth="1"/>
    <col min="5385" max="5385" width="2.125" style="254" customWidth="1"/>
    <col min="5386" max="5387" width="3" style="254" customWidth="1"/>
    <col min="5388" max="5390" width="2.875" style="254" customWidth="1"/>
    <col min="5391" max="5391" width="3" style="254" customWidth="1"/>
    <col min="5392" max="5392" width="2.875" style="254" customWidth="1"/>
    <col min="5393" max="5393" width="2.125" style="254" customWidth="1"/>
    <col min="5394" max="5395" width="2.75" style="254" customWidth="1"/>
    <col min="5396" max="5397" width="2.125" style="254" customWidth="1"/>
    <col min="5398" max="5435" width="2.875" style="254" customWidth="1"/>
    <col min="5436" max="5632" width="9" style="254" customWidth="1"/>
    <col min="5633" max="5634" width="1.75" style="254" customWidth="1"/>
    <col min="5635" max="5635" width="2.875" style="254" customWidth="1"/>
    <col min="5636" max="5636" width="3" style="254" customWidth="1"/>
    <col min="5637" max="5638" width="3.625" style="254" customWidth="1"/>
    <col min="5639" max="5639" width="3.25" style="254" customWidth="1"/>
    <col min="5640" max="5640" width="1.375" style="254" customWidth="1"/>
    <col min="5641" max="5641" width="2.125" style="254" customWidth="1"/>
    <col min="5642" max="5643" width="3" style="254" customWidth="1"/>
    <col min="5644" max="5646" width="2.875" style="254" customWidth="1"/>
    <col min="5647" max="5647" width="3" style="254" customWidth="1"/>
    <col min="5648" max="5648" width="2.875" style="254" customWidth="1"/>
    <col min="5649" max="5649" width="2.125" style="254" customWidth="1"/>
    <col min="5650" max="5651" width="2.75" style="254" customWidth="1"/>
    <col min="5652" max="5653" width="2.125" style="254" customWidth="1"/>
    <col min="5654" max="5691" width="2.875" style="254" customWidth="1"/>
    <col min="5692" max="5888" width="9" style="254" customWidth="1"/>
    <col min="5889" max="5890" width="1.75" style="254" customWidth="1"/>
    <col min="5891" max="5891" width="2.875" style="254" customWidth="1"/>
    <col min="5892" max="5892" width="3" style="254" customWidth="1"/>
    <col min="5893" max="5894" width="3.625" style="254" customWidth="1"/>
    <col min="5895" max="5895" width="3.25" style="254" customWidth="1"/>
    <col min="5896" max="5896" width="1.375" style="254" customWidth="1"/>
    <col min="5897" max="5897" width="2.125" style="254" customWidth="1"/>
    <col min="5898" max="5899" width="3" style="254" customWidth="1"/>
    <col min="5900" max="5902" width="2.875" style="254" customWidth="1"/>
    <col min="5903" max="5903" width="3" style="254" customWidth="1"/>
    <col min="5904" max="5904" width="2.875" style="254" customWidth="1"/>
    <col min="5905" max="5905" width="2.125" style="254" customWidth="1"/>
    <col min="5906" max="5907" width="2.75" style="254" customWidth="1"/>
    <col min="5908" max="5909" width="2.125" style="254" customWidth="1"/>
    <col min="5910" max="5947" width="2.875" style="254" customWidth="1"/>
    <col min="5948" max="6144" width="9" style="254" customWidth="1"/>
    <col min="6145" max="6146" width="1.75" style="254" customWidth="1"/>
    <col min="6147" max="6147" width="2.875" style="254" customWidth="1"/>
    <col min="6148" max="6148" width="3" style="254" customWidth="1"/>
    <col min="6149" max="6150" width="3.625" style="254" customWidth="1"/>
    <col min="6151" max="6151" width="3.25" style="254" customWidth="1"/>
    <col min="6152" max="6152" width="1.375" style="254" customWidth="1"/>
    <col min="6153" max="6153" width="2.125" style="254" customWidth="1"/>
    <col min="6154" max="6155" width="3" style="254" customWidth="1"/>
    <col min="6156" max="6158" width="2.875" style="254" customWidth="1"/>
    <col min="6159" max="6159" width="3" style="254" customWidth="1"/>
    <col min="6160" max="6160" width="2.875" style="254" customWidth="1"/>
    <col min="6161" max="6161" width="2.125" style="254" customWidth="1"/>
    <col min="6162" max="6163" width="2.75" style="254" customWidth="1"/>
    <col min="6164" max="6165" width="2.125" style="254" customWidth="1"/>
    <col min="6166" max="6203" width="2.875" style="254" customWidth="1"/>
    <col min="6204" max="6400" width="9" style="254" customWidth="1"/>
    <col min="6401" max="6402" width="1.75" style="254" customWidth="1"/>
    <col min="6403" max="6403" width="2.875" style="254" customWidth="1"/>
    <col min="6404" max="6404" width="3" style="254" customWidth="1"/>
    <col min="6405" max="6406" width="3.625" style="254" customWidth="1"/>
    <col min="6407" max="6407" width="3.25" style="254" customWidth="1"/>
    <col min="6408" max="6408" width="1.375" style="254" customWidth="1"/>
    <col min="6409" max="6409" width="2.125" style="254" customWidth="1"/>
    <col min="6410" max="6411" width="3" style="254" customWidth="1"/>
    <col min="6412" max="6414" width="2.875" style="254" customWidth="1"/>
    <col min="6415" max="6415" width="3" style="254" customWidth="1"/>
    <col min="6416" max="6416" width="2.875" style="254" customWidth="1"/>
    <col min="6417" max="6417" width="2.125" style="254" customWidth="1"/>
    <col min="6418" max="6419" width="2.75" style="254" customWidth="1"/>
    <col min="6420" max="6421" width="2.125" style="254" customWidth="1"/>
    <col min="6422" max="6459" width="2.875" style="254" customWidth="1"/>
    <col min="6460" max="6656" width="9" style="254" customWidth="1"/>
    <col min="6657" max="6658" width="1.75" style="254" customWidth="1"/>
    <col min="6659" max="6659" width="2.875" style="254" customWidth="1"/>
    <col min="6660" max="6660" width="3" style="254" customWidth="1"/>
    <col min="6661" max="6662" width="3.625" style="254" customWidth="1"/>
    <col min="6663" max="6663" width="3.25" style="254" customWidth="1"/>
    <col min="6664" max="6664" width="1.375" style="254" customWidth="1"/>
    <col min="6665" max="6665" width="2.125" style="254" customWidth="1"/>
    <col min="6666" max="6667" width="3" style="254" customWidth="1"/>
    <col min="6668" max="6670" width="2.875" style="254" customWidth="1"/>
    <col min="6671" max="6671" width="3" style="254" customWidth="1"/>
    <col min="6672" max="6672" width="2.875" style="254" customWidth="1"/>
    <col min="6673" max="6673" width="2.125" style="254" customWidth="1"/>
    <col min="6674" max="6675" width="2.75" style="254" customWidth="1"/>
    <col min="6676" max="6677" width="2.125" style="254" customWidth="1"/>
    <col min="6678" max="6715" width="2.875" style="254" customWidth="1"/>
    <col min="6716" max="6912" width="9" style="254" customWidth="1"/>
    <col min="6913" max="6914" width="1.75" style="254" customWidth="1"/>
    <col min="6915" max="6915" width="2.875" style="254" customWidth="1"/>
    <col min="6916" max="6916" width="3" style="254" customWidth="1"/>
    <col min="6917" max="6918" width="3.625" style="254" customWidth="1"/>
    <col min="6919" max="6919" width="3.25" style="254" customWidth="1"/>
    <col min="6920" max="6920" width="1.375" style="254" customWidth="1"/>
    <col min="6921" max="6921" width="2.125" style="254" customWidth="1"/>
    <col min="6922" max="6923" width="3" style="254" customWidth="1"/>
    <col min="6924" max="6926" width="2.875" style="254" customWidth="1"/>
    <col min="6927" max="6927" width="3" style="254" customWidth="1"/>
    <col min="6928" max="6928" width="2.875" style="254" customWidth="1"/>
    <col min="6929" max="6929" width="2.125" style="254" customWidth="1"/>
    <col min="6930" max="6931" width="2.75" style="254" customWidth="1"/>
    <col min="6932" max="6933" width="2.125" style="254" customWidth="1"/>
    <col min="6934" max="6971" width="2.875" style="254" customWidth="1"/>
    <col min="6972" max="7168" width="9" style="254" customWidth="1"/>
    <col min="7169" max="7170" width="1.75" style="254" customWidth="1"/>
    <col min="7171" max="7171" width="2.875" style="254" customWidth="1"/>
    <col min="7172" max="7172" width="3" style="254" customWidth="1"/>
    <col min="7173" max="7174" width="3.625" style="254" customWidth="1"/>
    <col min="7175" max="7175" width="3.25" style="254" customWidth="1"/>
    <col min="7176" max="7176" width="1.375" style="254" customWidth="1"/>
    <col min="7177" max="7177" width="2.125" style="254" customWidth="1"/>
    <col min="7178" max="7179" width="3" style="254" customWidth="1"/>
    <col min="7180" max="7182" width="2.875" style="254" customWidth="1"/>
    <col min="7183" max="7183" width="3" style="254" customWidth="1"/>
    <col min="7184" max="7184" width="2.875" style="254" customWidth="1"/>
    <col min="7185" max="7185" width="2.125" style="254" customWidth="1"/>
    <col min="7186" max="7187" width="2.75" style="254" customWidth="1"/>
    <col min="7188" max="7189" width="2.125" style="254" customWidth="1"/>
    <col min="7190" max="7227" width="2.875" style="254" customWidth="1"/>
    <col min="7228" max="7424" width="9" style="254" customWidth="1"/>
    <col min="7425" max="7426" width="1.75" style="254" customWidth="1"/>
    <col min="7427" max="7427" width="2.875" style="254" customWidth="1"/>
    <col min="7428" max="7428" width="3" style="254" customWidth="1"/>
    <col min="7429" max="7430" width="3.625" style="254" customWidth="1"/>
    <col min="7431" max="7431" width="3.25" style="254" customWidth="1"/>
    <col min="7432" max="7432" width="1.375" style="254" customWidth="1"/>
    <col min="7433" max="7433" width="2.125" style="254" customWidth="1"/>
    <col min="7434" max="7435" width="3" style="254" customWidth="1"/>
    <col min="7436" max="7438" width="2.875" style="254" customWidth="1"/>
    <col min="7439" max="7439" width="3" style="254" customWidth="1"/>
    <col min="7440" max="7440" width="2.875" style="254" customWidth="1"/>
    <col min="7441" max="7441" width="2.125" style="254" customWidth="1"/>
    <col min="7442" max="7443" width="2.75" style="254" customWidth="1"/>
    <col min="7444" max="7445" width="2.125" style="254" customWidth="1"/>
    <col min="7446" max="7483" width="2.875" style="254" customWidth="1"/>
    <col min="7484" max="7680" width="9" style="254" customWidth="1"/>
    <col min="7681" max="7682" width="1.75" style="254" customWidth="1"/>
    <col min="7683" max="7683" width="2.875" style="254" customWidth="1"/>
    <col min="7684" max="7684" width="3" style="254" customWidth="1"/>
    <col min="7685" max="7686" width="3.625" style="254" customWidth="1"/>
    <col min="7687" max="7687" width="3.25" style="254" customWidth="1"/>
    <col min="7688" max="7688" width="1.375" style="254" customWidth="1"/>
    <col min="7689" max="7689" width="2.125" style="254" customWidth="1"/>
    <col min="7690" max="7691" width="3" style="254" customWidth="1"/>
    <col min="7692" max="7694" width="2.875" style="254" customWidth="1"/>
    <col min="7695" max="7695" width="3" style="254" customWidth="1"/>
    <col min="7696" max="7696" width="2.875" style="254" customWidth="1"/>
    <col min="7697" max="7697" width="2.125" style="254" customWidth="1"/>
    <col min="7698" max="7699" width="2.75" style="254" customWidth="1"/>
    <col min="7700" max="7701" width="2.125" style="254" customWidth="1"/>
    <col min="7702" max="7739" width="2.875" style="254" customWidth="1"/>
    <col min="7740" max="7936" width="9" style="254" customWidth="1"/>
    <col min="7937" max="7938" width="1.75" style="254" customWidth="1"/>
    <col min="7939" max="7939" width="2.875" style="254" customWidth="1"/>
    <col min="7940" max="7940" width="3" style="254" customWidth="1"/>
    <col min="7941" max="7942" width="3.625" style="254" customWidth="1"/>
    <col min="7943" max="7943" width="3.25" style="254" customWidth="1"/>
    <col min="7944" max="7944" width="1.375" style="254" customWidth="1"/>
    <col min="7945" max="7945" width="2.125" style="254" customWidth="1"/>
    <col min="7946" max="7947" width="3" style="254" customWidth="1"/>
    <col min="7948" max="7950" width="2.875" style="254" customWidth="1"/>
    <col min="7951" max="7951" width="3" style="254" customWidth="1"/>
    <col min="7952" max="7952" width="2.875" style="254" customWidth="1"/>
    <col min="7953" max="7953" width="2.125" style="254" customWidth="1"/>
    <col min="7954" max="7955" width="2.75" style="254" customWidth="1"/>
    <col min="7956" max="7957" width="2.125" style="254" customWidth="1"/>
    <col min="7958" max="7995" width="2.875" style="254" customWidth="1"/>
    <col min="7996" max="8192" width="9" style="254" customWidth="1"/>
    <col min="8193" max="8194" width="1.75" style="254" customWidth="1"/>
    <col min="8195" max="8195" width="2.875" style="254" customWidth="1"/>
    <col min="8196" max="8196" width="3" style="254" customWidth="1"/>
    <col min="8197" max="8198" width="3.625" style="254" customWidth="1"/>
    <col min="8199" max="8199" width="3.25" style="254" customWidth="1"/>
    <col min="8200" max="8200" width="1.375" style="254" customWidth="1"/>
    <col min="8201" max="8201" width="2.125" style="254" customWidth="1"/>
    <col min="8202" max="8203" width="3" style="254" customWidth="1"/>
    <col min="8204" max="8206" width="2.875" style="254" customWidth="1"/>
    <col min="8207" max="8207" width="3" style="254" customWidth="1"/>
    <col min="8208" max="8208" width="2.875" style="254" customWidth="1"/>
    <col min="8209" max="8209" width="2.125" style="254" customWidth="1"/>
    <col min="8210" max="8211" width="2.75" style="254" customWidth="1"/>
    <col min="8212" max="8213" width="2.125" style="254" customWidth="1"/>
    <col min="8214" max="8251" width="2.875" style="254" customWidth="1"/>
    <col min="8252" max="8448" width="9" style="254" customWidth="1"/>
    <col min="8449" max="8450" width="1.75" style="254" customWidth="1"/>
    <col min="8451" max="8451" width="2.875" style="254" customWidth="1"/>
    <col min="8452" max="8452" width="3" style="254" customWidth="1"/>
    <col min="8453" max="8454" width="3.625" style="254" customWidth="1"/>
    <col min="8455" max="8455" width="3.25" style="254" customWidth="1"/>
    <col min="8456" max="8456" width="1.375" style="254" customWidth="1"/>
    <col min="8457" max="8457" width="2.125" style="254" customWidth="1"/>
    <col min="8458" max="8459" width="3" style="254" customWidth="1"/>
    <col min="8460" max="8462" width="2.875" style="254" customWidth="1"/>
    <col min="8463" max="8463" width="3" style="254" customWidth="1"/>
    <col min="8464" max="8464" width="2.875" style="254" customWidth="1"/>
    <col min="8465" max="8465" width="2.125" style="254" customWidth="1"/>
    <col min="8466" max="8467" width="2.75" style="254" customWidth="1"/>
    <col min="8468" max="8469" width="2.125" style="254" customWidth="1"/>
    <col min="8470" max="8507" width="2.875" style="254" customWidth="1"/>
    <col min="8508" max="8704" width="9" style="254" customWidth="1"/>
    <col min="8705" max="8706" width="1.75" style="254" customWidth="1"/>
    <col min="8707" max="8707" width="2.875" style="254" customWidth="1"/>
    <col min="8708" max="8708" width="3" style="254" customWidth="1"/>
    <col min="8709" max="8710" width="3.625" style="254" customWidth="1"/>
    <col min="8711" max="8711" width="3.25" style="254" customWidth="1"/>
    <col min="8712" max="8712" width="1.375" style="254" customWidth="1"/>
    <col min="8713" max="8713" width="2.125" style="254" customWidth="1"/>
    <col min="8714" max="8715" width="3" style="254" customWidth="1"/>
    <col min="8716" max="8718" width="2.875" style="254" customWidth="1"/>
    <col min="8719" max="8719" width="3" style="254" customWidth="1"/>
    <col min="8720" max="8720" width="2.875" style="254" customWidth="1"/>
    <col min="8721" max="8721" width="2.125" style="254" customWidth="1"/>
    <col min="8722" max="8723" width="2.75" style="254" customWidth="1"/>
    <col min="8724" max="8725" width="2.125" style="254" customWidth="1"/>
    <col min="8726" max="8763" width="2.875" style="254" customWidth="1"/>
    <col min="8764" max="8960" width="9" style="254" customWidth="1"/>
    <col min="8961" max="8962" width="1.75" style="254" customWidth="1"/>
    <col min="8963" max="8963" width="2.875" style="254" customWidth="1"/>
    <col min="8964" max="8964" width="3" style="254" customWidth="1"/>
    <col min="8965" max="8966" width="3.625" style="254" customWidth="1"/>
    <col min="8967" max="8967" width="3.25" style="254" customWidth="1"/>
    <col min="8968" max="8968" width="1.375" style="254" customWidth="1"/>
    <col min="8969" max="8969" width="2.125" style="254" customWidth="1"/>
    <col min="8970" max="8971" width="3" style="254" customWidth="1"/>
    <col min="8972" max="8974" width="2.875" style="254" customWidth="1"/>
    <col min="8975" max="8975" width="3" style="254" customWidth="1"/>
    <col min="8976" max="8976" width="2.875" style="254" customWidth="1"/>
    <col min="8977" max="8977" width="2.125" style="254" customWidth="1"/>
    <col min="8978" max="8979" width="2.75" style="254" customWidth="1"/>
    <col min="8980" max="8981" width="2.125" style="254" customWidth="1"/>
    <col min="8982" max="9019" width="2.875" style="254" customWidth="1"/>
    <col min="9020" max="9216" width="9" style="254" customWidth="1"/>
    <col min="9217" max="9218" width="1.75" style="254" customWidth="1"/>
    <col min="9219" max="9219" width="2.875" style="254" customWidth="1"/>
    <col min="9220" max="9220" width="3" style="254" customWidth="1"/>
    <col min="9221" max="9222" width="3.625" style="254" customWidth="1"/>
    <col min="9223" max="9223" width="3.25" style="254" customWidth="1"/>
    <col min="9224" max="9224" width="1.375" style="254" customWidth="1"/>
    <col min="9225" max="9225" width="2.125" style="254" customWidth="1"/>
    <col min="9226" max="9227" width="3" style="254" customWidth="1"/>
    <col min="9228" max="9230" width="2.875" style="254" customWidth="1"/>
    <col min="9231" max="9231" width="3" style="254" customWidth="1"/>
    <col min="9232" max="9232" width="2.875" style="254" customWidth="1"/>
    <col min="9233" max="9233" width="2.125" style="254" customWidth="1"/>
    <col min="9234" max="9235" width="2.75" style="254" customWidth="1"/>
    <col min="9236" max="9237" width="2.125" style="254" customWidth="1"/>
    <col min="9238" max="9275" width="2.875" style="254" customWidth="1"/>
    <col min="9276" max="9472" width="9" style="254" customWidth="1"/>
    <col min="9473" max="9474" width="1.75" style="254" customWidth="1"/>
    <col min="9475" max="9475" width="2.875" style="254" customWidth="1"/>
    <col min="9476" max="9476" width="3" style="254" customWidth="1"/>
    <col min="9477" max="9478" width="3.625" style="254" customWidth="1"/>
    <col min="9479" max="9479" width="3.25" style="254" customWidth="1"/>
    <col min="9480" max="9480" width="1.375" style="254" customWidth="1"/>
    <col min="9481" max="9481" width="2.125" style="254" customWidth="1"/>
    <col min="9482" max="9483" width="3" style="254" customWidth="1"/>
    <col min="9484" max="9486" width="2.875" style="254" customWidth="1"/>
    <col min="9487" max="9487" width="3" style="254" customWidth="1"/>
    <col min="9488" max="9488" width="2.875" style="254" customWidth="1"/>
    <col min="9489" max="9489" width="2.125" style="254" customWidth="1"/>
    <col min="9490" max="9491" width="2.75" style="254" customWidth="1"/>
    <col min="9492" max="9493" width="2.125" style="254" customWidth="1"/>
    <col min="9494" max="9531" width="2.875" style="254" customWidth="1"/>
    <col min="9532" max="9728" width="9" style="254" customWidth="1"/>
    <col min="9729" max="9730" width="1.75" style="254" customWidth="1"/>
    <col min="9731" max="9731" width="2.875" style="254" customWidth="1"/>
    <col min="9732" max="9732" width="3" style="254" customWidth="1"/>
    <col min="9733" max="9734" width="3.625" style="254" customWidth="1"/>
    <col min="9735" max="9735" width="3.25" style="254" customWidth="1"/>
    <col min="9736" max="9736" width="1.375" style="254" customWidth="1"/>
    <col min="9737" max="9737" width="2.125" style="254" customWidth="1"/>
    <col min="9738" max="9739" width="3" style="254" customWidth="1"/>
    <col min="9740" max="9742" width="2.875" style="254" customWidth="1"/>
    <col min="9743" max="9743" width="3" style="254" customWidth="1"/>
    <col min="9744" max="9744" width="2.875" style="254" customWidth="1"/>
    <col min="9745" max="9745" width="2.125" style="254" customWidth="1"/>
    <col min="9746" max="9747" width="2.75" style="254" customWidth="1"/>
    <col min="9748" max="9749" width="2.125" style="254" customWidth="1"/>
    <col min="9750" max="9787" width="2.875" style="254" customWidth="1"/>
    <col min="9788" max="9984" width="9" style="254" customWidth="1"/>
    <col min="9985" max="9986" width="1.75" style="254" customWidth="1"/>
    <col min="9987" max="9987" width="2.875" style="254" customWidth="1"/>
    <col min="9988" max="9988" width="3" style="254" customWidth="1"/>
    <col min="9989" max="9990" width="3.625" style="254" customWidth="1"/>
    <col min="9991" max="9991" width="3.25" style="254" customWidth="1"/>
    <col min="9992" max="9992" width="1.375" style="254" customWidth="1"/>
    <col min="9993" max="9993" width="2.125" style="254" customWidth="1"/>
    <col min="9994" max="9995" width="3" style="254" customWidth="1"/>
    <col min="9996" max="9998" width="2.875" style="254" customWidth="1"/>
    <col min="9999" max="9999" width="3" style="254" customWidth="1"/>
    <col min="10000" max="10000" width="2.875" style="254" customWidth="1"/>
    <col min="10001" max="10001" width="2.125" style="254" customWidth="1"/>
    <col min="10002" max="10003" width="2.75" style="254" customWidth="1"/>
    <col min="10004" max="10005" width="2.125" style="254" customWidth="1"/>
    <col min="10006" max="10043" width="2.875" style="254" customWidth="1"/>
    <col min="10044" max="10240" width="9" style="254" customWidth="1"/>
    <col min="10241" max="10242" width="1.75" style="254" customWidth="1"/>
    <col min="10243" max="10243" width="2.875" style="254" customWidth="1"/>
    <col min="10244" max="10244" width="3" style="254" customWidth="1"/>
    <col min="10245" max="10246" width="3.625" style="254" customWidth="1"/>
    <col min="10247" max="10247" width="3.25" style="254" customWidth="1"/>
    <col min="10248" max="10248" width="1.375" style="254" customWidth="1"/>
    <col min="10249" max="10249" width="2.125" style="254" customWidth="1"/>
    <col min="10250" max="10251" width="3" style="254" customWidth="1"/>
    <col min="10252" max="10254" width="2.875" style="254" customWidth="1"/>
    <col min="10255" max="10255" width="3" style="254" customWidth="1"/>
    <col min="10256" max="10256" width="2.875" style="254" customWidth="1"/>
    <col min="10257" max="10257" width="2.125" style="254" customWidth="1"/>
    <col min="10258" max="10259" width="2.75" style="254" customWidth="1"/>
    <col min="10260" max="10261" width="2.125" style="254" customWidth="1"/>
    <col min="10262" max="10299" width="2.875" style="254" customWidth="1"/>
    <col min="10300" max="10496" width="9" style="254" customWidth="1"/>
    <col min="10497" max="10498" width="1.75" style="254" customWidth="1"/>
    <col min="10499" max="10499" width="2.875" style="254" customWidth="1"/>
    <col min="10500" max="10500" width="3" style="254" customWidth="1"/>
    <col min="10501" max="10502" width="3.625" style="254" customWidth="1"/>
    <col min="10503" max="10503" width="3.25" style="254" customWidth="1"/>
    <col min="10504" max="10504" width="1.375" style="254" customWidth="1"/>
    <col min="10505" max="10505" width="2.125" style="254" customWidth="1"/>
    <col min="10506" max="10507" width="3" style="254" customWidth="1"/>
    <col min="10508" max="10510" width="2.875" style="254" customWidth="1"/>
    <col min="10511" max="10511" width="3" style="254" customWidth="1"/>
    <col min="10512" max="10512" width="2.875" style="254" customWidth="1"/>
    <col min="10513" max="10513" width="2.125" style="254" customWidth="1"/>
    <col min="10514" max="10515" width="2.75" style="254" customWidth="1"/>
    <col min="10516" max="10517" width="2.125" style="254" customWidth="1"/>
    <col min="10518" max="10555" width="2.875" style="254" customWidth="1"/>
    <col min="10556" max="10752" width="9" style="254" customWidth="1"/>
    <col min="10753" max="10754" width="1.75" style="254" customWidth="1"/>
    <col min="10755" max="10755" width="2.875" style="254" customWidth="1"/>
    <col min="10756" max="10756" width="3" style="254" customWidth="1"/>
    <col min="10757" max="10758" width="3.625" style="254" customWidth="1"/>
    <col min="10759" max="10759" width="3.25" style="254" customWidth="1"/>
    <col min="10760" max="10760" width="1.375" style="254" customWidth="1"/>
    <col min="10761" max="10761" width="2.125" style="254" customWidth="1"/>
    <col min="10762" max="10763" width="3" style="254" customWidth="1"/>
    <col min="10764" max="10766" width="2.875" style="254" customWidth="1"/>
    <col min="10767" max="10767" width="3" style="254" customWidth="1"/>
    <col min="10768" max="10768" width="2.875" style="254" customWidth="1"/>
    <col min="10769" max="10769" width="2.125" style="254" customWidth="1"/>
    <col min="10770" max="10771" width="2.75" style="254" customWidth="1"/>
    <col min="10772" max="10773" width="2.125" style="254" customWidth="1"/>
    <col min="10774" max="10811" width="2.875" style="254" customWidth="1"/>
    <col min="10812" max="11008" width="9" style="254" customWidth="1"/>
    <col min="11009" max="11010" width="1.75" style="254" customWidth="1"/>
    <col min="11011" max="11011" width="2.875" style="254" customWidth="1"/>
    <col min="11012" max="11012" width="3" style="254" customWidth="1"/>
    <col min="11013" max="11014" width="3.625" style="254" customWidth="1"/>
    <col min="11015" max="11015" width="3.25" style="254" customWidth="1"/>
    <col min="11016" max="11016" width="1.375" style="254" customWidth="1"/>
    <col min="11017" max="11017" width="2.125" style="254" customWidth="1"/>
    <col min="11018" max="11019" width="3" style="254" customWidth="1"/>
    <col min="11020" max="11022" width="2.875" style="254" customWidth="1"/>
    <col min="11023" max="11023" width="3" style="254" customWidth="1"/>
    <col min="11024" max="11024" width="2.875" style="254" customWidth="1"/>
    <col min="11025" max="11025" width="2.125" style="254" customWidth="1"/>
    <col min="11026" max="11027" width="2.75" style="254" customWidth="1"/>
    <col min="11028" max="11029" width="2.125" style="254" customWidth="1"/>
    <col min="11030" max="11067" width="2.875" style="254" customWidth="1"/>
    <col min="11068" max="11264" width="9" style="254" customWidth="1"/>
    <col min="11265" max="11266" width="1.75" style="254" customWidth="1"/>
    <col min="11267" max="11267" width="2.875" style="254" customWidth="1"/>
    <col min="11268" max="11268" width="3" style="254" customWidth="1"/>
    <col min="11269" max="11270" width="3.625" style="254" customWidth="1"/>
    <col min="11271" max="11271" width="3.25" style="254" customWidth="1"/>
    <col min="11272" max="11272" width="1.375" style="254" customWidth="1"/>
    <col min="11273" max="11273" width="2.125" style="254" customWidth="1"/>
    <col min="11274" max="11275" width="3" style="254" customWidth="1"/>
    <col min="11276" max="11278" width="2.875" style="254" customWidth="1"/>
    <col min="11279" max="11279" width="3" style="254" customWidth="1"/>
    <col min="11280" max="11280" width="2.875" style="254" customWidth="1"/>
    <col min="11281" max="11281" width="2.125" style="254" customWidth="1"/>
    <col min="11282" max="11283" width="2.75" style="254" customWidth="1"/>
    <col min="11284" max="11285" width="2.125" style="254" customWidth="1"/>
    <col min="11286" max="11323" width="2.875" style="254" customWidth="1"/>
    <col min="11324" max="11520" width="9" style="254" customWidth="1"/>
    <col min="11521" max="11522" width="1.75" style="254" customWidth="1"/>
    <col min="11523" max="11523" width="2.875" style="254" customWidth="1"/>
    <col min="11524" max="11524" width="3" style="254" customWidth="1"/>
    <col min="11525" max="11526" width="3.625" style="254" customWidth="1"/>
    <col min="11527" max="11527" width="3.25" style="254" customWidth="1"/>
    <col min="11528" max="11528" width="1.375" style="254" customWidth="1"/>
    <col min="11529" max="11529" width="2.125" style="254" customWidth="1"/>
    <col min="11530" max="11531" width="3" style="254" customWidth="1"/>
    <col min="11532" max="11534" width="2.875" style="254" customWidth="1"/>
    <col min="11535" max="11535" width="3" style="254" customWidth="1"/>
    <col min="11536" max="11536" width="2.875" style="254" customWidth="1"/>
    <col min="11537" max="11537" width="2.125" style="254" customWidth="1"/>
    <col min="11538" max="11539" width="2.75" style="254" customWidth="1"/>
    <col min="11540" max="11541" width="2.125" style="254" customWidth="1"/>
    <col min="11542" max="11579" width="2.875" style="254" customWidth="1"/>
    <col min="11580" max="11776" width="9" style="254" customWidth="1"/>
    <col min="11777" max="11778" width="1.75" style="254" customWidth="1"/>
    <col min="11779" max="11779" width="2.875" style="254" customWidth="1"/>
    <col min="11780" max="11780" width="3" style="254" customWidth="1"/>
    <col min="11781" max="11782" width="3.625" style="254" customWidth="1"/>
    <col min="11783" max="11783" width="3.25" style="254" customWidth="1"/>
    <col min="11784" max="11784" width="1.375" style="254" customWidth="1"/>
    <col min="11785" max="11785" width="2.125" style="254" customWidth="1"/>
    <col min="11786" max="11787" width="3" style="254" customWidth="1"/>
    <col min="11788" max="11790" width="2.875" style="254" customWidth="1"/>
    <col min="11791" max="11791" width="3" style="254" customWidth="1"/>
    <col min="11792" max="11792" width="2.875" style="254" customWidth="1"/>
    <col min="11793" max="11793" width="2.125" style="254" customWidth="1"/>
    <col min="11794" max="11795" width="2.75" style="254" customWidth="1"/>
    <col min="11796" max="11797" width="2.125" style="254" customWidth="1"/>
    <col min="11798" max="11835" width="2.875" style="254" customWidth="1"/>
    <col min="11836" max="12032" width="9" style="254" customWidth="1"/>
    <col min="12033" max="12034" width="1.75" style="254" customWidth="1"/>
    <col min="12035" max="12035" width="2.875" style="254" customWidth="1"/>
    <col min="12036" max="12036" width="3" style="254" customWidth="1"/>
    <col min="12037" max="12038" width="3.625" style="254" customWidth="1"/>
    <col min="12039" max="12039" width="3.25" style="254" customWidth="1"/>
    <col min="12040" max="12040" width="1.375" style="254" customWidth="1"/>
    <col min="12041" max="12041" width="2.125" style="254" customWidth="1"/>
    <col min="12042" max="12043" width="3" style="254" customWidth="1"/>
    <col min="12044" max="12046" width="2.875" style="254" customWidth="1"/>
    <col min="12047" max="12047" width="3" style="254" customWidth="1"/>
    <col min="12048" max="12048" width="2.875" style="254" customWidth="1"/>
    <col min="12049" max="12049" width="2.125" style="254" customWidth="1"/>
    <col min="12050" max="12051" width="2.75" style="254" customWidth="1"/>
    <col min="12052" max="12053" width="2.125" style="254" customWidth="1"/>
    <col min="12054" max="12091" width="2.875" style="254" customWidth="1"/>
    <col min="12092" max="12288" width="9" style="254" customWidth="1"/>
    <col min="12289" max="12290" width="1.75" style="254" customWidth="1"/>
    <col min="12291" max="12291" width="2.875" style="254" customWidth="1"/>
    <col min="12292" max="12292" width="3" style="254" customWidth="1"/>
    <col min="12293" max="12294" width="3.625" style="254" customWidth="1"/>
    <col min="12295" max="12295" width="3.25" style="254" customWidth="1"/>
    <col min="12296" max="12296" width="1.375" style="254" customWidth="1"/>
    <col min="12297" max="12297" width="2.125" style="254" customWidth="1"/>
    <col min="12298" max="12299" width="3" style="254" customWidth="1"/>
    <col min="12300" max="12302" width="2.875" style="254" customWidth="1"/>
    <col min="12303" max="12303" width="3" style="254" customWidth="1"/>
    <col min="12304" max="12304" width="2.875" style="254" customWidth="1"/>
    <col min="12305" max="12305" width="2.125" style="254" customWidth="1"/>
    <col min="12306" max="12307" width="2.75" style="254" customWidth="1"/>
    <col min="12308" max="12309" width="2.125" style="254" customWidth="1"/>
    <col min="12310" max="12347" width="2.875" style="254" customWidth="1"/>
    <col min="12348" max="12544" width="9" style="254" customWidth="1"/>
    <col min="12545" max="12546" width="1.75" style="254" customWidth="1"/>
    <col min="12547" max="12547" width="2.875" style="254" customWidth="1"/>
    <col min="12548" max="12548" width="3" style="254" customWidth="1"/>
    <col min="12549" max="12550" width="3.625" style="254" customWidth="1"/>
    <col min="12551" max="12551" width="3.25" style="254" customWidth="1"/>
    <col min="12552" max="12552" width="1.375" style="254" customWidth="1"/>
    <col min="12553" max="12553" width="2.125" style="254" customWidth="1"/>
    <col min="12554" max="12555" width="3" style="254" customWidth="1"/>
    <col min="12556" max="12558" width="2.875" style="254" customWidth="1"/>
    <col min="12559" max="12559" width="3" style="254" customWidth="1"/>
    <col min="12560" max="12560" width="2.875" style="254" customWidth="1"/>
    <col min="12561" max="12561" width="2.125" style="254" customWidth="1"/>
    <col min="12562" max="12563" width="2.75" style="254" customWidth="1"/>
    <col min="12564" max="12565" width="2.125" style="254" customWidth="1"/>
    <col min="12566" max="12603" width="2.875" style="254" customWidth="1"/>
    <col min="12604" max="12800" width="9" style="254" customWidth="1"/>
    <col min="12801" max="12802" width="1.75" style="254" customWidth="1"/>
    <col min="12803" max="12803" width="2.875" style="254" customWidth="1"/>
    <col min="12804" max="12804" width="3" style="254" customWidth="1"/>
    <col min="12805" max="12806" width="3.625" style="254" customWidth="1"/>
    <col min="12807" max="12807" width="3.25" style="254" customWidth="1"/>
    <col min="12808" max="12808" width="1.375" style="254" customWidth="1"/>
    <col min="12809" max="12809" width="2.125" style="254" customWidth="1"/>
    <col min="12810" max="12811" width="3" style="254" customWidth="1"/>
    <col min="12812" max="12814" width="2.875" style="254" customWidth="1"/>
    <col min="12815" max="12815" width="3" style="254" customWidth="1"/>
    <col min="12816" max="12816" width="2.875" style="254" customWidth="1"/>
    <col min="12817" max="12817" width="2.125" style="254" customWidth="1"/>
    <col min="12818" max="12819" width="2.75" style="254" customWidth="1"/>
    <col min="12820" max="12821" width="2.125" style="254" customWidth="1"/>
    <col min="12822" max="12859" width="2.875" style="254" customWidth="1"/>
    <col min="12860" max="13056" width="9" style="254" customWidth="1"/>
    <col min="13057" max="13058" width="1.75" style="254" customWidth="1"/>
    <col min="13059" max="13059" width="2.875" style="254" customWidth="1"/>
    <col min="13060" max="13060" width="3" style="254" customWidth="1"/>
    <col min="13061" max="13062" width="3.625" style="254" customWidth="1"/>
    <col min="13063" max="13063" width="3.25" style="254" customWidth="1"/>
    <col min="13064" max="13064" width="1.375" style="254" customWidth="1"/>
    <col min="13065" max="13065" width="2.125" style="254" customWidth="1"/>
    <col min="13066" max="13067" width="3" style="254" customWidth="1"/>
    <col min="13068" max="13070" width="2.875" style="254" customWidth="1"/>
    <col min="13071" max="13071" width="3" style="254" customWidth="1"/>
    <col min="13072" max="13072" width="2.875" style="254" customWidth="1"/>
    <col min="13073" max="13073" width="2.125" style="254" customWidth="1"/>
    <col min="13074" max="13075" width="2.75" style="254" customWidth="1"/>
    <col min="13076" max="13077" width="2.125" style="254" customWidth="1"/>
    <col min="13078" max="13115" width="2.875" style="254" customWidth="1"/>
    <col min="13116" max="13312" width="9" style="254" customWidth="1"/>
    <col min="13313" max="13314" width="1.75" style="254" customWidth="1"/>
    <col min="13315" max="13315" width="2.875" style="254" customWidth="1"/>
    <col min="13316" max="13316" width="3" style="254" customWidth="1"/>
    <col min="13317" max="13318" width="3.625" style="254" customWidth="1"/>
    <col min="13319" max="13319" width="3.25" style="254" customWidth="1"/>
    <col min="13320" max="13320" width="1.375" style="254" customWidth="1"/>
    <col min="13321" max="13321" width="2.125" style="254" customWidth="1"/>
    <col min="13322" max="13323" width="3" style="254" customWidth="1"/>
    <col min="13324" max="13326" width="2.875" style="254" customWidth="1"/>
    <col min="13327" max="13327" width="3" style="254" customWidth="1"/>
    <col min="13328" max="13328" width="2.875" style="254" customWidth="1"/>
    <col min="13329" max="13329" width="2.125" style="254" customWidth="1"/>
    <col min="13330" max="13331" width="2.75" style="254" customWidth="1"/>
    <col min="13332" max="13333" width="2.125" style="254" customWidth="1"/>
    <col min="13334" max="13371" width="2.875" style="254" customWidth="1"/>
    <col min="13372" max="13568" width="9" style="254" customWidth="1"/>
    <col min="13569" max="13570" width="1.75" style="254" customWidth="1"/>
    <col min="13571" max="13571" width="2.875" style="254" customWidth="1"/>
    <col min="13572" max="13572" width="3" style="254" customWidth="1"/>
    <col min="13573" max="13574" width="3.625" style="254" customWidth="1"/>
    <col min="13575" max="13575" width="3.25" style="254" customWidth="1"/>
    <col min="13576" max="13576" width="1.375" style="254" customWidth="1"/>
    <col min="13577" max="13577" width="2.125" style="254" customWidth="1"/>
    <col min="13578" max="13579" width="3" style="254" customWidth="1"/>
    <col min="13580" max="13582" width="2.875" style="254" customWidth="1"/>
    <col min="13583" max="13583" width="3" style="254" customWidth="1"/>
    <col min="13584" max="13584" width="2.875" style="254" customWidth="1"/>
    <col min="13585" max="13585" width="2.125" style="254" customWidth="1"/>
    <col min="13586" max="13587" width="2.75" style="254" customWidth="1"/>
    <col min="13588" max="13589" width="2.125" style="254" customWidth="1"/>
    <col min="13590" max="13627" width="2.875" style="254" customWidth="1"/>
    <col min="13628" max="13824" width="9" style="254" customWidth="1"/>
    <col min="13825" max="13826" width="1.75" style="254" customWidth="1"/>
    <col min="13827" max="13827" width="2.875" style="254" customWidth="1"/>
    <col min="13828" max="13828" width="3" style="254" customWidth="1"/>
    <col min="13829" max="13830" width="3.625" style="254" customWidth="1"/>
    <col min="13831" max="13831" width="3.25" style="254" customWidth="1"/>
    <col min="13832" max="13832" width="1.375" style="254" customWidth="1"/>
    <col min="13833" max="13833" width="2.125" style="254" customWidth="1"/>
    <col min="13834" max="13835" width="3" style="254" customWidth="1"/>
    <col min="13836" max="13838" width="2.875" style="254" customWidth="1"/>
    <col min="13839" max="13839" width="3" style="254" customWidth="1"/>
    <col min="13840" max="13840" width="2.875" style="254" customWidth="1"/>
    <col min="13841" max="13841" width="2.125" style="254" customWidth="1"/>
    <col min="13842" max="13843" width="2.75" style="254" customWidth="1"/>
    <col min="13844" max="13845" width="2.125" style="254" customWidth="1"/>
    <col min="13846" max="13883" width="2.875" style="254" customWidth="1"/>
    <col min="13884" max="14080" width="9" style="254" customWidth="1"/>
    <col min="14081" max="14082" width="1.75" style="254" customWidth="1"/>
    <col min="14083" max="14083" width="2.875" style="254" customWidth="1"/>
    <col min="14084" max="14084" width="3" style="254" customWidth="1"/>
    <col min="14085" max="14086" width="3.625" style="254" customWidth="1"/>
    <col min="14087" max="14087" width="3.25" style="254" customWidth="1"/>
    <col min="14088" max="14088" width="1.375" style="254" customWidth="1"/>
    <col min="14089" max="14089" width="2.125" style="254" customWidth="1"/>
    <col min="14090" max="14091" width="3" style="254" customWidth="1"/>
    <col min="14092" max="14094" width="2.875" style="254" customWidth="1"/>
    <col min="14095" max="14095" width="3" style="254" customWidth="1"/>
    <col min="14096" max="14096" width="2.875" style="254" customWidth="1"/>
    <col min="14097" max="14097" width="2.125" style="254" customWidth="1"/>
    <col min="14098" max="14099" width="2.75" style="254" customWidth="1"/>
    <col min="14100" max="14101" width="2.125" style="254" customWidth="1"/>
    <col min="14102" max="14139" width="2.875" style="254" customWidth="1"/>
    <col min="14140" max="14336" width="9" style="254" customWidth="1"/>
    <col min="14337" max="14338" width="1.75" style="254" customWidth="1"/>
    <col min="14339" max="14339" width="2.875" style="254" customWidth="1"/>
    <col min="14340" max="14340" width="3" style="254" customWidth="1"/>
    <col min="14341" max="14342" width="3.625" style="254" customWidth="1"/>
    <col min="14343" max="14343" width="3.25" style="254" customWidth="1"/>
    <col min="14344" max="14344" width="1.375" style="254" customWidth="1"/>
    <col min="14345" max="14345" width="2.125" style="254" customWidth="1"/>
    <col min="14346" max="14347" width="3" style="254" customWidth="1"/>
    <col min="14348" max="14350" width="2.875" style="254" customWidth="1"/>
    <col min="14351" max="14351" width="3" style="254" customWidth="1"/>
    <col min="14352" max="14352" width="2.875" style="254" customWidth="1"/>
    <col min="14353" max="14353" width="2.125" style="254" customWidth="1"/>
    <col min="14354" max="14355" width="2.75" style="254" customWidth="1"/>
    <col min="14356" max="14357" width="2.125" style="254" customWidth="1"/>
    <col min="14358" max="14395" width="2.875" style="254" customWidth="1"/>
    <col min="14396" max="14592" width="9" style="254" customWidth="1"/>
    <col min="14593" max="14594" width="1.75" style="254" customWidth="1"/>
    <col min="14595" max="14595" width="2.875" style="254" customWidth="1"/>
    <col min="14596" max="14596" width="3" style="254" customWidth="1"/>
    <col min="14597" max="14598" width="3.625" style="254" customWidth="1"/>
    <col min="14599" max="14599" width="3.25" style="254" customWidth="1"/>
    <col min="14600" max="14600" width="1.375" style="254" customWidth="1"/>
    <col min="14601" max="14601" width="2.125" style="254" customWidth="1"/>
    <col min="14602" max="14603" width="3" style="254" customWidth="1"/>
    <col min="14604" max="14606" width="2.875" style="254" customWidth="1"/>
    <col min="14607" max="14607" width="3" style="254" customWidth="1"/>
    <col min="14608" max="14608" width="2.875" style="254" customWidth="1"/>
    <col min="14609" max="14609" width="2.125" style="254" customWidth="1"/>
    <col min="14610" max="14611" width="2.75" style="254" customWidth="1"/>
    <col min="14612" max="14613" width="2.125" style="254" customWidth="1"/>
    <col min="14614" max="14651" width="2.875" style="254" customWidth="1"/>
    <col min="14652" max="14848" width="9" style="254" customWidth="1"/>
    <col min="14849" max="14850" width="1.75" style="254" customWidth="1"/>
    <col min="14851" max="14851" width="2.875" style="254" customWidth="1"/>
    <col min="14852" max="14852" width="3" style="254" customWidth="1"/>
    <col min="14853" max="14854" width="3.625" style="254" customWidth="1"/>
    <col min="14855" max="14855" width="3.25" style="254" customWidth="1"/>
    <col min="14856" max="14856" width="1.375" style="254" customWidth="1"/>
    <col min="14857" max="14857" width="2.125" style="254" customWidth="1"/>
    <col min="14858" max="14859" width="3" style="254" customWidth="1"/>
    <col min="14860" max="14862" width="2.875" style="254" customWidth="1"/>
    <col min="14863" max="14863" width="3" style="254" customWidth="1"/>
    <col min="14864" max="14864" width="2.875" style="254" customWidth="1"/>
    <col min="14865" max="14865" width="2.125" style="254" customWidth="1"/>
    <col min="14866" max="14867" width="2.75" style="254" customWidth="1"/>
    <col min="14868" max="14869" width="2.125" style="254" customWidth="1"/>
    <col min="14870" max="14907" width="2.875" style="254" customWidth="1"/>
    <col min="14908" max="15104" width="9" style="254" customWidth="1"/>
    <col min="15105" max="15106" width="1.75" style="254" customWidth="1"/>
    <col min="15107" max="15107" width="2.875" style="254" customWidth="1"/>
    <col min="15108" max="15108" width="3" style="254" customWidth="1"/>
    <col min="15109" max="15110" width="3.625" style="254" customWidth="1"/>
    <col min="15111" max="15111" width="3.25" style="254" customWidth="1"/>
    <col min="15112" max="15112" width="1.375" style="254" customWidth="1"/>
    <col min="15113" max="15113" width="2.125" style="254" customWidth="1"/>
    <col min="15114" max="15115" width="3" style="254" customWidth="1"/>
    <col min="15116" max="15118" width="2.875" style="254" customWidth="1"/>
    <col min="15119" max="15119" width="3" style="254" customWidth="1"/>
    <col min="15120" max="15120" width="2.875" style="254" customWidth="1"/>
    <col min="15121" max="15121" width="2.125" style="254" customWidth="1"/>
    <col min="15122" max="15123" width="2.75" style="254" customWidth="1"/>
    <col min="15124" max="15125" width="2.125" style="254" customWidth="1"/>
    <col min="15126" max="15163" width="2.875" style="254" customWidth="1"/>
    <col min="15164" max="15360" width="9" style="254" customWidth="1"/>
    <col min="15361" max="15362" width="1.75" style="254" customWidth="1"/>
    <col min="15363" max="15363" width="2.875" style="254" customWidth="1"/>
    <col min="15364" max="15364" width="3" style="254" customWidth="1"/>
    <col min="15365" max="15366" width="3.625" style="254" customWidth="1"/>
    <col min="15367" max="15367" width="3.25" style="254" customWidth="1"/>
    <col min="15368" max="15368" width="1.375" style="254" customWidth="1"/>
    <col min="15369" max="15369" width="2.125" style="254" customWidth="1"/>
    <col min="15370" max="15371" width="3" style="254" customWidth="1"/>
    <col min="15372" max="15374" width="2.875" style="254" customWidth="1"/>
    <col min="15375" max="15375" width="3" style="254" customWidth="1"/>
    <col min="15376" max="15376" width="2.875" style="254" customWidth="1"/>
    <col min="15377" max="15377" width="2.125" style="254" customWidth="1"/>
    <col min="15378" max="15379" width="2.75" style="254" customWidth="1"/>
    <col min="15380" max="15381" width="2.125" style="254" customWidth="1"/>
    <col min="15382" max="15419" width="2.875" style="254" customWidth="1"/>
    <col min="15420" max="15616" width="9" style="254" customWidth="1"/>
    <col min="15617" max="15618" width="1.75" style="254" customWidth="1"/>
    <col min="15619" max="15619" width="2.875" style="254" customWidth="1"/>
    <col min="15620" max="15620" width="3" style="254" customWidth="1"/>
    <col min="15621" max="15622" width="3.625" style="254" customWidth="1"/>
    <col min="15623" max="15623" width="3.25" style="254" customWidth="1"/>
    <col min="15624" max="15624" width="1.375" style="254" customWidth="1"/>
    <col min="15625" max="15625" width="2.125" style="254" customWidth="1"/>
    <col min="15626" max="15627" width="3" style="254" customWidth="1"/>
    <col min="15628" max="15630" width="2.875" style="254" customWidth="1"/>
    <col min="15631" max="15631" width="3" style="254" customWidth="1"/>
    <col min="15632" max="15632" width="2.875" style="254" customWidth="1"/>
    <col min="15633" max="15633" width="2.125" style="254" customWidth="1"/>
    <col min="15634" max="15635" width="2.75" style="254" customWidth="1"/>
    <col min="15636" max="15637" width="2.125" style="254" customWidth="1"/>
    <col min="15638" max="15675" width="2.875" style="254" customWidth="1"/>
    <col min="15676" max="15872" width="9" style="254" customWidth="1"/>
    <col min="15873" max="15874" width="1.75" style="254" customWidth="1"/>
    <col min="15875" max="15875" width="2.875" style="254" customWidth="1"/>
    <col min="15876" max="15876" width="3" style="254" customWidth="1"/>
    <col min="15877" max="15878" width="3.625" style="254" customWidth="1"/>
    <col min="15879" max="15879" width="3.25" style="254" customWidth="1"/>
    <col min="15880" max="15880" width="1.375" style="254" customWidth="1"/>
    <col min="15881" max="15881" width="2.125" style="254" customWidth="1"/>
    <col min="15882" max="15883" width="3" style="254" customWidth="1"/>
    <col min="15884" max="15886" width="2.875" style="254" customWidth="1"/>
    <col min="15887" max="15887" width="3" style="254" customWidth="1"/>
    <col min="15888" max="15888" width="2.875" style="254" customWidth="1"/>
    <col min="15889" max="15889" width="2.125" style="254" customWidth="1"/>
    <col min="15890" max="15891" width="2.75" style="254" customWidth="1"/>
    <col min="15892" max="15893" width="2.125" style="254" customWidth="1"/>
    <col min="15894" max="15931" width="2.875" style="254" customWidth="1"/>
    <col min="15932" max="16128" width="9" style="254" customWidth="1"/>
    <col min="16129" max="16130" width="1.75" style="254" customWidth="1"/>
    <col min="16131" max="16131" width="2.875" style="254" customWidth="1"/>
    <col min="16132" max="16132" width="3" style="254" customWidth="1"/>
    <col min="16133" max="16134" width="3.625" style="254" customWidth="1"/>
    <col min="16135" max="16135" width="3.25" style="254" customWidth="1"/>
    <col min="16136" max="16136" width="1.375" style="254" customWidth="1"/>
    <col min="16137" max="16137" width="2.125" style="254" customWidth="1"/>
    <col min="16138" max="16139" width="3" style="254" customWidth="1"/>
    <col min="16140" max="16142" width="2.875" style="254" customWidth="1"/>
    <col min="16143" max="16143" width="3" style="254" customWidth="1"/>
    <col min="16144" max="16144" width="2.875" style="254" customWidth="1"/>
    <col min="16145" max="16145" width="2.125" style="254" customWidth="1"/>
    <col min="16146" max="16147" width="2.75" style="254" customWidth="1"/>
    <col min="16148" max="16149" width="2.125" style="254" customWidth="1"/>
    <col min="16150" max="16187" width="2.875" style="254" customWidth="1"/>
    <col min="16188" max="16384" width="9" style="254" customWidth="1"/>
  </cols>
  <sheetData>
    <row r="1" spans="1:31" s="252" customFormat="1" ht="15" customHeight="1">
      <c r="B1" s="252" t="s">
        <v>2901</v>
      </c>
      <c r="I1" s="774" t="s">
        <v>2902</v>
      </c>
      <c r="J1" s="774"/>
      <c r="K1" s="774"/>
      <c r="L1" s="774"/>
      <c r="M1" s="774"/>
      <c r="N1" s="774"/>
      <c r="O1" s="774"/>
      <c r="P1" s="774"/>
      <c r="Q1" s="774"/>
      <c r="R1" s="774"/>
      <c r="S1" s="774"/>
      <c r="T1" s="774"/>
      <c r="U1" s="774"/>
      <c r="V1" s="774"/>
      <c r="W1" s="774"/>
      <c r="X1" s="774"/>
      <c r="Y1" s="787"/>
      <c r="Z1" s="787"/>
      <c r="AA1" s="787"/>
      <c r="AB1" s="787"/>
      <c r="AC1" s="787"/>
      <c r="AD1" s="787"/>
    </row>
    <row r="2" spans="1:31" s="252" customFormat="1" ht="15" customHeight="1">
      <c r="B2" s="779" t="s">
        <v>2903</v>
      </c>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row>
    <row r="3" spans="1:31" s="252" customFormat="1" ht="15" customHeight="1">
      <c r="A3" s="253"/>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row>
    <row r="4" spans="1:31" s="252" customFormat="1" ht="15" customHeight="1">
      <c r="K4" s="14"/>
      <c r="L4"/>
      <c r="M4" s="14"/>
      <c r="N4"/>
      <c r="O4" s="14"/>
      <c r="P4" s="14"/>
      <c r="Q4" s="14"/>
      <c r="R4" s="14"/>
      <c r="S4" s="14"/>
      <c r="T4" s="14"/>
      <c r="U4" s="14"/>
      <c r="V4" s="14"/>
      <c r="W4" s="14"/>
      <c r="X4" s="14"/>
      <c r="Y4" s="14"/>
      <c r="Z4" s="14"/>
      <c r="AA4" s="14"/>
      <c r="AB4" s="14"/>
      <c r="AC4" s="14"/>
      <c r="AD4" s="14"/>
    </row>
    <row r="5" spans="1:31" ht="15" customHeight="1">
      <c r="C5" s="780" t="s">
        <v>2904</v>
      </c>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255"/>
    </row>
    <row r="6" spans="1:31" s="252" customFormat="1" ht="15" customHeight="1">
      <c r="B6" s="256"/>
      <c r="C6" s="257" t="s">
        <v>2905</v>
      </c>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row>
    <row r="7" spans="1:31" ht="15" customHeight="1">
      <c r="C7" s="254" t="s">
        <v>2906</v>
      </c>
    </row>
    <row r="8" spans="1:31" s="258" customFormat="1" ht="15" customHeight="1">
      <c r="D8" s="259" t="s">
        <v>2907</v>
      </c>
      <c r="F8" s="259"/>
      <c r="G8" s="259"/>
      <c r="H8" s="259"/>
      <c r="I8" s="775" t="str">
        <f>cst_wskakunin_owner1__space_KANA2</f>
        <v/>
      </c>
      <c r="J8" s="775"/>
      <c r="K8" s="775"/>
      <c r="L8" s="775"/>
      <c r="M8" s="775"/>
      <c r="N8" s="775"/>
      <c r="O8" s="775"/>
      <c r="P8" s="775"/>
      <c r="Q8" s="775"/>
      <c r="R8" s="775"/>
      <c r="S8" s="775"/>
      <c r="T8" s="775"/>
      <c r="U8" s="775"/>
      <c r="V8" s="775"/>
      <c r="W8" s="775"/>
      <c r="X8" s="775"/>
      <c r="Y8" s="775"/>
      <c r="Z8" s="775"/>
      <c r="AA8" s="775"/>
      <c r="AB8" s="775"/>
      <c r="AC8" s="775"/>
      <c r="AD8" s="775"/>
    </row>
    <row r="9" spans="1:31" s="258" customFormat="1" ht="15" customHeight="1">
      <c r="D9" s="259" t="s">
        <v>2908</v>
      </c>
      <c r="F9" s="259"/>
      <c r="G9" s="259"/>
      <c r="H9" s="259"/>
      <c r="I9" s="775" t="str">
        <f>cst_wskakunin_owner1__space4</f>
        <v/>
      </c>
      <c r="J9" s="775"/>
      <c r="K9" s="775"/>
      <c r="L9" s="775"/>
      <c r="M9" s="775"/>
      <c r="N9" s="775"/>
      <c r="O9" s="775"/>
      <c r="P9" s="775"/>
      <c r="Q9" s="775"/>
      <c r="R9" s="775"/>
      <c r="S9" s="775"/>
      <c r="T9" s="775"/>
      <c r="U9" s="775"/>
      <c r="V9" s="775"/>
      <c r="W9" s="775"/>
      <c r="X9" s="775"/>
      <c r="Y9" s="775"/>
      <c r="Z9" s="775"/>
      <c r="AA9" s="775"/>
      <c r="AB9" s="775"/>
      <c r="AC9" s="775"/>
      <c r="AD9" s="775"/>
    </row>
    <row r="10" spans="1:31" s="258" customFormat="1" ht="15" customHeight="1">
      <c r="D10" s="259" t="s">
        <v>1065</v>
      </c>
      <c r="F10" s="259"/>
      <c r="G10" s="259"/>
      <c r="H10" s="259"/>
      <c r="I10" s="775" t="str">
        <f>cst_wskakunin_owner1_ZIP</f>
        <v/>
      </c>
      <c r="J10" s="775"/>
      <c r="K10" s="775"/>
      <c r="L10" s="775"/>
      <c r="M10" s="775"/>
      <c r="N10" s="775"/>
      <c r="O10" s="775"/>
      <c r="P10" s="775"/>
      <c r="Q10" s="775"/>
      <c r="R10" s="775"/>
      <c r="S10" s="775"/>
      <c r="T10" s="775"/>
      <c r="U10" s="775"/>
      <c r="V10" s="775"/>
      <c r="W10" s="775"/>
      <c r="X10" s="775"/>
      <c r="Y10" s="775"/>
      <c r="Z10" s="775"/>
      <c r="AA10" s="775"/>
      <c r="AB10" s="775"/>
      <c r="AC10" s="775"/>
      <c r="AD10" s="775"/>
    </row>
    <row r="11" spans="1:31" ht="15" customHeight="1">
      <c r="B11" s="260"/>
      <c r="C11" s="260"/>
      <c r="D11" s="260" t="s">
        <v>2909</v>
      </c>
      <c r="E11" s="260"/>
      <c r="F11" s="260"/>
      <c r="G11" s="260"/>
      <c r="H11" s="260"/>
      <c r="I11" s="781" t="str">
        <f>cst_wskakunin_owner1__address</f>
        <v/>
      </c>
      <c r="J11" s="781"/>
      <c r="K11" s="781"/>
      <c r="L11" s="781"/>
      <c r="M11" s="781"/>
      <c r="N11" s="781"/>
      <c r="O11" s="781"/>
      <c r="P11" s="781"/>
      <c r="Q11" s="781"/>
      <c r="R11" s="781"/>
      <c r="S11" s="781"/>
      <c r="T11" s="781"/>
      <c r="U11" s="781"/>
      <c r="V11" s="781"/>
      <c r="W11" s="781"/>
      <c r="X11" s="781"/>
      <c r="Y11" s="781"/>
      <c r="Z11" s="781"/>
      <c r="AA11" s="781"/>
      <c r="AB11" s="781"/>
      <c r="AC11" s="781"/>
      <c r="AD11" s="781"/>
    </row>
    <row r="12" spans="1:31" ht="15" customHeight="1">
      <c r="C12" s="254" t="s">
        <v>2910</v>
      </c>
    </row>
    <row r="13" spans="1:31" s="258" customFormat="1" ht="15" customHeight="1">
      <c r="D13" s="259" t="s">
        <v>2911</v>
      </c>
      <c r="F13" s="259"/>
      <c r="G13" s="259"/>
      <c r="H13" s="259"/>
      <c r="I13" s="261" t="s">
        <v>2912</v>
      </c>
      <c r="J13" s="776" t="str">
        <f>cst_wskakunin_dairi1_SIKAKU</f>
        <v/>
      </c>
      <c r="K13" s="776"/>
      <c r="L13" s="262" t="s">
        <v>2913</v>
      </c>
      <c r="M13" s="258" t="s">
        <v>2914</v>
      </c>
      <c r="Q13" s="259" t="s">
        <v>2912</v>
      </c>
      <c r="R13" s="776" t="str">
        <f>cst_wskakunin_dairi1_TOUROKU_KIKAN</f>
        <v/>
      </c>
      <c r="S13" s="776"/>
      <c r="T13" s="776"/>
      <c r="U13" s="259" t="s">
        <v>2913</v>
      </c>
      <c r="V13" s="259" t="s">
        <v>2915</v>
      </c>
      <c r="W13" s="261"/>
      <c r="X13" s="776" t="str">
        <f>cst_wskakunin_dairi1_KENTIKUSI_NO</f>
        <v/>
      </c>
      <c r="Y13" s="776"/>
      <c r="Z13" s="776"/>
      <c r="AA13" s="261" t="s">
        <v>2849</v>
      </c>
    </row>
    <row r="14" spans="1:31" s="258" customFormat="1" ht="15" customHeight="1">
      <c r="D14" s="259" t="s">
        <v>2908</v>
      </c>
      <c r="F14" s="259"/>
      <c r="G14" s="259"/>
      <c r="H14" s="259"/>
      <c r="I14" s="775" t="str">
        <f>cst_wskakunin_dairi1_NAME</f>
        <v/>
      </c>
      <c r="J14" s="775"/>
      <c r="K14" s="775"/>
      <c r="L14" s="775"/>
      <c r="M14" s="775"/>
      <c r="N14" s="775"/>
      <c r="O14" s="775"/>
      <c r="P14" s="775"/>
      <c r="Q14" s="775"/>
      <c r="R14" s="775"/>
      <c r="S14" s="775"/>
      <c r="T14" s="775"/>
      <c r="U14" s="775"/>
      <c r="V14" s="775"/>
      <c r="W14" s="775"/>
      <c r="X14" s="775"/>
      <c r="Y14" s="775"/>
      <c r="Z14" s="775"/>
      <c r="AA14" s="775"/>
      <c r="AB14" s="775"/>
      <c r="AC14" s="775"/>
      <c r="AD14" s="775"/>
    </row>
    <row r="15" spans="1:31" s="258" customFormat="1" ht="15" customHeight="1">
      <c r="D15" s="259" t="s">
        <v>2916</v>
      </c>
      <c r="I15" s="261" t="s">
        <v>2912</v>
      </c>
      <c r="J15" s="776" t="str">
        <f>cst_wskakunin_dairi1_JIMU_SIKAKU</f>
        <v/>
      </c>
      <c r="K15" s="776"/>
      <c r="L15" s="262" t="s">
        <v>2913</v>
      </c>
      <c r="M15" s="258" t="s">
        <v>2917</v>
      </c>
      <c r="Q15" s="259" t="s">
        <v>2912</v>
      </c>
      <c r="R15" s="776" t="str">
        <f>cst_wskakunin_dairi1_JIMU_TOUROKU_KIKAN</f>
        <v/>
      </c>
      <c r="S15" s="776"/>
      <c r="T15" s="782" t="s">
        <v>2918</v>
      </c>
      <c r="U15" s="782"/>
      <c r="V15" s="782"/>
      <c r="W15" s="782"/>
      <c r="X15" s="776" t="str">
        <f>cst_wskakunin_dairi1_JIMU_NO</f>
        <v/>
      </c>
      <c r="Y15" s="776"/>
      <c r="Z15" s="776"/>
      <c r="AA15" s="261" t="s">
        <v>2849</v>
      </c>
    </row>
    <row r="16" spans="1:31" s="258" customFormat="1" ht="15" customHeight="1">
      <c r="I16" s="775" t="str">
        <f>cst_wskakunin_dairi1_JIMU_NAME</f>
        <v/>
      </c>
      <c r="J16" s="775"/>
      <c r="K16" s="775"/>
      <c r="L16" s="775"/>
      <c r="M16" s="775"/>
      <c r="N16" s="775"/>
      <c r="O16" s="775"/>
      <c r="P16" s="775"/>
      <c r="Q16" s="775"/>
      <c r="R16" s="775"/>
      <c r="S16" s="775"/>
      <c r="T16" s="775"/>
      <c r="U16" s="775"/>
      <c r="V16" s="775"/>
      <c r="W16" s="775"/>
      <c r="X16" s="775"/>
      <c r="Y16" s="775"/>
      <c r="Z16" s="775"/>
      <c r="AA16" s="775"/>
      <c r="AB16" s="775"/>
      <c r="AC16" s="775"/>
      <c r="AD16" s="775"/>
    </row>
    <row r="17" spans="2:30" s="258" customFormat="1" ht="15" customHeight="1">
      <c r="D17" s="259" t="s">
        <v>2919</v>
      </c>
      <c r="F17" s="259"/>
      <c r="G17" s="259"/>
      <c r="H17" s="259"/>
      <c r="I17" s="775" t="str">
        <f>cst_wskakunin_dairi1_ZIP</f>
        <v/>
      </c>
      <c r="J17" s="775"/>
      <c r="K17" s="775"/>
      <c r="L17" s="775"/>
      <c r="M17" s="775"/>
      <c r="N17" s="775"/>
      <c r="O17" s="775"/>
      <c r="P17" s="775"/>
      <c r="Q17" s="775"/>
      <c r="R17" s="775"/>
      <c r="S17" s="775"/>
      <c r="T17" s="775"/>
      <c r="U17" s="775"/>
      <c r="V17" s="775"/>
      <c r="W17" s="775"/>
      <c r="X17" s="775"/>
      <c r="Y17" s="775"/>
      <c r="Z17" s="775"/>
      <c r="AA17" s="775"/>
      <c r="AB17" s="775"/>
      <c r="AC17" s="775"/>
      <c r="AD17" s="775"/>
    </row>
    <row r="18" spans="2:30" s="258" customFormat="1" ht="15" customHeight="1">
      <c r="D18" s="259" t="s">
        <v>2920</v>
      </c>
      <c r="F18" s="259"/>
      <c r="G18" s="259"/>
      <c r="H18" s="259"/>
      <c r="I18" s="775" t="str">
        <f>cst_wskakunin_dairi1__address</f>
        <v/>
      </c>
      <c r="J18" s="775"/>
      <c r="K18" s="775"/>
      <c r="L18" s="775"/>
      <c r="M18" s="775"/>
      <c r="N18" s="775"/>
      <c r="O18" s="775"/>
      <c r="P18" s="775"/>
      <c r="Q18" s="775"/>
      <c r="R18" s="775"/>
      <c r="S18" s="775"/>
      <c r="T18" s="775"/>
      <c r="U18" s="775"/>
      <c r="V18" s="775"/>
      <c r="W18" s="775"/>
      <c r="X18" s="775"/>
      <c r="Y18" s="775"/>
      <c r="Z18" s="775"/>
      <c r="AA18" s="775"/>
      <c r="AB18" s="775"/>
      <c r="AC18" s="775"/>
      <c r="AD18" s="775"/>
    </row>
    <row r="19" spans="2:30" s="258" customFormat="1" ht="15" customHeight="1">
      <c r="B19" s="263"/>
      <c r="C19" s="263"/>
      <c r="D19" s="264" t="s">
        <v>2921</v>
      </c>
      <c r="E19" s="263"/>
      <c r="F19" s="264"/>
      <c r="G19" s="264"/>
      <c r="H19" s="264"/>
      <c r="I19" s="777" t="str">
        <f>cst_wskakunin_dairi1_TEL</f>
        <v/>
      </c>
      <c r="J19" s="777"/>
      <c r="K19" s="777"/>
      <c r="L19" s="777"/>
      <c r="M19" s="777"/>
      <c r="N19" s="777"/>
      <c r="O19" s="777"/>
      <c r="P19" s="777"/>
      <c r="Q19" s="777"/>
      <c r="R19" s="777"/>
      <c r="S19" s="777"/>
      <c r="T19" s="777"/>
      <c r="U19" s="777"/>
      <c r="V19" s="777"/>
      <c r="W19" s="777"/>
      <c r="X19" s="777"/>
      <c r="Y19" s="777"/>
      <c r="Z19" s="777"/>
      <c r="AA19" s="777"/>
      <c r="AB19" s="777"/>
      <c r="AC19" s="777"/>
      <c r="AD19" s="777"/>
    </row>
    <row r="20" spans="2:30" ht="15" customHeight="1">
      <c r="C20" s="254" t="s">
        <v>2922</v>
      </c>
    </row>
    <row r="21" spans="2:30" ht="15" customHeight="1">
      <c r="C21" s="254" t="s">
        <v>2923</v>
      </c>
    </row>
    <row r="22" spans="2:30" s="258" customFormat="1" ht="15" customHeight="1">
      <c r="D22" s="259" t="s">
        <v>2911</v>
      </c>
      <c r="F22" s="259"/>
      <c r="G22" s="259"/>
      <c r="H22" s="259"/>
      <c r="I22" s="261" t="s">
        <v>2912</v>
      </c>
      <c r="J22" s="776" t="str">
        <f>cst_wskakunin_sekkei1_SIKAKU</f>
        <v/>
      </c>
      <c r="K22" s="776"/>
      <c r="L22" s="262" t="s">
        <v>2913</v>
      </c>
      <c r="M22" s="258" t="s">
        <v>2914</v>
      </c>
      <c r="Q22" s="259" t="s">
        <v>2912</v>
      </c>
      <c r="R22" s="776" t="str">
        <f>cst_wskakunin_sekkei1_TOUROKU_KIKAN</f>
        <v/>
      </c>
      <c r="S22" s="776"/>
      <c r="T22" s="776"/>
      <c r="U22" s="262" t="s">
        <v>2913</v>
      </c>
      <c r="W22" s="261" t="s">
        <v>2915</v>
      </c>
      <c r="X22" s="776" t="str">
        <f>cst_wskakunin_sekkei1_KENTIKUSI_NO</f>
        <v/>
      </c>
      <c r="Y22" s="776"/>
      <c r="Z22" s="776"/>
      <c r="AA22" s="261" t="s">
        <v>2849</v>
      </c>
    </row>
    <row r="23" spans="2:30" s="258" customFormat="1" ht="15" customHeight="1">
      <c r="D23" s="259" t="s">
        <v>2908</v>
      </c>
      <c r="F23" s="259"/>
      <c r="G23" s="259"/>
      <c r="H23" s="259"/>
      <c r="I23" s="775" t="str">
        <f>cst_wskakunin_sekkei1_NAME</f>
        <v/>
      </c>
      <c r="J23" s="775"/>
      <c r="K23" s="775"/>
      <c r="L23" s="775"/>
      <c r="M23" s="775"/>
      <c r="N23" s="775"/>
      <c r="O23" s="775"/>
      <c r="P23" s="775"/>
      <c r="Q23" s="775"/>
      <c r="R23" s="775"/>
      <c r="S23" s="775"/>
      <c r="T23" s="775"/>
      <c r="U23" s="775"/>
      <c r="V23" s="775"/>
      <c r="W23" s="775"/>
      <c r="X23" s="775"/>
      <c r="Y23" s="775"/>
      <c r="Z23" s="775"/>
      <c r="AA23" s="775"/>
      <c r="AB23" s="775"/>
      <c r="AC23" s="775"/>
      <c r="AD23" s="775"/>
    </row>
    <row r="24" spans="2:30" s="258" customFormat="1" ht="15" customHeight="1">
      <c r="D24" s="259" t="s">
        <v>2916</v>
      </c>
      <c r="I24" s="261" t="s">
        <v>2912</v>
      </c>
      <c r="J24" s="776" t="str">
        <f>cst_wskakunin_sekkei1_JIMU_SIKAKU</f>
        <v/>
      </c>
      <c r="K24" s="776"/>
      <c r="L24" s="262" t="s">
        <v>2913</v>
      </c>
      <c r="M24" s="258" t="s">
        <v>2917</v>
      </c>
      <c r="Q24" s="259" t="s">
        <v>2912</v>
      </c>
      <c r="R24" s="776" t="str">
        <f>cst_wskakunin_sekkei1_JIMU_TOUROKU_KIKAN</f>
        <v/>
      </c>
      <c r="S24" s="776"/>
      <c r="T24" s="782" t="s">
        <v>2918</v>
      </c>
      <c r="U24" s="782"/>
      <c r="V24" s="782"/>
      <c r="W24" s="782"/>
      <c r="X24" s="776" t="str">
        <f>cst_wskakunin_sekkei1_JIMU_NO</f>
        <v/>
      </c>
      <c r="Y24" s="776"/>
      <c r="Z24" s="776"/>
      <c r="AA24" s="261" t="s">
        <v>2849</v>
      </c>
    </row>
    <row r="25" spans="2:30" s="258" customFormat="1" ht="15" customHeight="1">
      <c r="I25" s="775" t="str">
        <f>cst_wskakunin_sekkei1_JIMU_NAME</f>
        <v/>
      </c>
      <c r="J25" s="775"/>
      <c r="K25" s="775"/>
      <c r="L25" s="775"/>
      <c r="M25" s="775"/>
      <c r="N25" s="775"/>
      <c r="O25" s="775"/>
      <c r="P25" s="775"/>
      <c r="Q25" s="775"/>
      <c r="R25" s="775"/>
      <c r="S25" s="775"/>
      <c r="T25" s="775"/>
      <c r="U25" s="775"/>
      <c r="V25" s="775"/>
      <c r="W25" s="775"/>
      <c r="X25" s="775"/>
      <c r="Y25" s="775"/>
      <c r="Z25" s="775"/>
      <c r="AA25" s="775"/>
      <c r="AB25" s="775"/>
      <c r="AC25" s="775"/>
      <c r="AD25" s="775"/>
    </row>
    <row r="26" spans="2:30" s="258" customFormat="1" ht="15" customHeight="1">
      <c r="D26" s="259" t="s">
        <v>2919</v>
      </c>
      <c r="F26" s="259"/>
      <c r="G26" s="259"/>
      <c r="H26" s="259"/>
      <c r="I26" s="775" t="str">
        <f>cst_wskakunin_sekkei1_ZIP</f>
        <v/>
      </c>
      <c r="J26" s="775"/>
      <c r="K26" s="775"/>
      <c r="L26" s="775"/>
      <c r="M26" s="775"/>
      <c r="N26" s="775"/>
      <c r="O26" s="775"/>
      <c r="P26" s="775"/>
      <c r="Q26" s="775"/>
      <c r="R26" s="775"/>
      <c r="S26" s="775"/>
      <c r="T26" s="775"/>
      <c r="U26" s="775"/>
      <c r="V26" s="775"/>
      <c r="W26" s="775"/>
      <c r="X26" s="775"/>
      <c r="Y26" s="775"/>
      <c r="Z26" s="775"/>
      <c r="AA26" s="775"/>
      <c r="AB26" s="775"/>
      <c r="AC26" s="775"/>
      <c r="AD26" s="775"/>
    </row>
    <row r="27" spans="2:30" s="258" customFormat="1" ht="15" customHeight="1">
      <c r="D27" s="258" t="s">
        <v>2920</v>
      </c>
      <c r="F27" s="259"/>
      <c r="G27" s="259"/>
      <c r="H27" s="259"/>
      <c r="I27" s="775" t="str">
        <f>cst_wskakunin_sekkei1__address</f>
        <v/>
      </c>
      <c r="J27" s="775"/>
      <c r="K27" s="775"/>
      <c r="L27" s="775"/>
      <c r="M27" s="775"/>
      <c r="N27" s="775"/>
      <c r="O27" s="775"/>
      <c r="P27" s="775"/>
      <c r="Q27" s="775"/>
      <c r="R27" s="775"/>
      <c r="S27" s="775"/>
      <c r="T27" s="775"/>
      <c r="U27" s="775"/>
      <c r="V27" s="775"/>
      <c r="W27" s="775"/>
      <c r="X27" s="775"/>
      <c r="Y27" s="775"/>
      <c r="Z27" s="775"/>
      <c r="AA27" s="775"/>
      <c r="AB27" s="775"/>
      <c r="AC27" s="775"/>
      <c r="AD27" s="775"/>
    </row>
    <row r="28" spans="2:30" s="258" customFormat="1" ht="15" customHeight="1">
      <c r="D28" s="259" t="s">
        <v>2921</v>
      </c>
      <c r="F28" s="259"/>
      <c r="G28" s="259"/>
      <c r="H28" s="259"/>
      <c r="I28" s="775" t="str">
        <f>cst_wskakunin_sekkei1_TEL</f>
        <v/>
      </c>
      <c r="J28" s="775"/>
      <c r="K28" s="775"/>
      <c r="L28" s="775"/>
      <c r="M28" s="775"/>
      <c r="N28" s="775"/>
      <c r="O28" s="775"/>
      <c r="P28" s="775"/>
      <c r="Q28" s="775"/>
      <c r="R28" s="775"/>
      <c r="S28" s="775"/>
      <c r="T28" s="775"/>
      <c r="U28" s="775"/>
      <c r="V28" s="775"/>
      <c r="W28" s="775"/>
      <c r="X28" s="775"/>
      <c r="Y28" s="775"/>
      <c r="Z28" s="775"/>
      <c r="AA28" s="775"/>
      <c r="AB28" s="775"/>
      <c r="AC28" s="775"/>
      <c r="AD28" s="775"/>
    </row>
    <row r="29" spans="2:30" s="258" customFormat="1" ht="15" customHeight="1">
      <c r="B29" s="265"/>
      <c r="C29" s="265"/>
      <c r="D29" s="268" t="s">
        <v>2924</v>
      </c>
      <c r="E29" s="268"/>
      <c r="F29" s="268"/>
      <c r="G29" s="268"/>
      <c r="H29" s="268"/>
      <c r="I29" s="268"/>
      <c r="J29" s="268"/>
      <c r="K29" s="268"/>
      <c r="L29" s="783" t="str">
        <f>cst_wskakunin_sekkei1_DOC</f>
        <v/>
      </c>
      <c r="M29" s="783"/>
      <c r="N29" s="783"/>
      <c r="O29" s="783"/>
      <c r="P29" s="783"/>
      <c r="Q29" s="783"/>
      <c r="R29" s="783"/>
      <c r="S29" s="783"/>
      <c r="T29" s="783"/>
      <c r="U29" s="783"/>
      <c r="V29" s="783"/>
      <c r="W29" s="783"/>
      <c r="X29" s="783"/>
      <c r="Y29" s="783"/>
      <c r="Z29" s="783"/>
      <c r="AA29" s="783"/>
      <c r="AB29" s="783"/>
      <c r="AC29" s="783"/>
      <c r="AD29" s="783"/>
    </row>
    <row r="30" spans="2:30" ht="15" customHeight="1">
      <c r="C30" s="254" t="s">
        <v>2925</v>
      </c>
    </row>
    <row r="31" spans="2:30" s="258" customFormat="1" ht="15" customHeight="1">
      <c r="D31" s="259" t="s">
        <v>2911</v>
      </c>
      <c r="F31" s="259"/>
      <c r="G31" s="259"/>
      <c r="H31" s="259"/>
      <c r="I31" s="261" t="s">
        <v>2912</v>
      </c>
      <c r="J31" s="776" t="str">
        <f>cst_wskakunin_sekkei2_SIKAKU</f>
        <v/>
      </c>
      <c r="K31" s="776"/>
      <c r="L31" s="262" t="s">
        <v>2913</v>
      </c>
      <c r="M31" s="258" t="s">
        <v>2914</v>
      </c>
      <c r="Q31" s="259" t="s">
        <v>2912</v>
      </c>
      <c r="R31" s="776" t="str">
        <f>cst_wskakunin_sekkei2_TOUROKU_KIKAN</f>
        <v/>
      </c>
      <c r="S31" s="776"/>
      <c r="T31" s="776"/>
      <c r="U31" s="262" t="s">
        <v>2913</v>
      </c>
      <c r="W31" s="261" t="s">
        <v>2915</v>
      </c>
      <c r="X31" s="776" t="str">
        <f>cst_wskakunin_sekkei2_KENTIKUSI_NO</f>
        <v/>
      </c>
      <c r="Y31" s="776"/>
      <c r="Z31" s="776"/>
      <c r="AA31" s="261" t="s">
        <v>2849</v>
      </c>
    </row>
    <row r="32" spans="2:30" s="258" customFormat="1" ht="15" customHeight="1">
      <c r="D32" s="259" t="s">
        <v>2908</v>
      </c>
      <c r="F32" s="259"/>
      <c r="G32" s="259"/>
      <c r="H32" s="259"/>
      <c r="I32" s="775" t="str">
        <f>cst_wskakunin_sekkei2_NAME</f>
        <v/>
      </c>
      <c r="J32" s="775"/>
      <c r="K32" s="775"/>
      <c r="L32" s="775"/>
      <c r="M32" s="775"/>
      <c r="N32" s="775"/>
      <c r="O32" s="775"/>
      <c r="P32" s="775"/>
      <c r="Q32" s="775"/>
      <c r="R32" s="775"/>
      <c r="S32" s="775"/>
      <c r="T32" s="775"/>
      <c r="U32" s="775"/>
      <c r="V32" s="775"/>
      <c r="W32" s="775"/>
      <c r="X32" s="775"/>
      <c r="Y32" s="775"/>
      <c r="Z32" s="775"/>
      <c r="AA32" s="775"/>
      <c r="AB32" s="775"/>
      <c r="AC32" s="775"/>
      <c r="AD32" s="775"/>
    </row>
    <row r="33" spans="2:30" s="258" customFormat="1" ht="15" customHeight="1">
      <c r="D33" s="259" t="s">
        <v>2916</v>
      </c>
      <c r="I33" s="261" t="s">
        <v>2912</v>
      </c>
      <c r="J33" s="776" t="str">
        <f>cst_wskakunin_sekkei2_JIMU_SIKAKU</f>
        <v/>
      </c>
      <c r="K33" s="776"/>
      <c r="L33" s="262" t="s">
        <v>2913</v>
      </c>
      <c r="M33" s="258" t="s">
        <v>2917</v>
      </c>
      <c r="Q33" s="259" t="s">
        <v>2912</v>
      </c>
      <c r="R33" s="776" t="str">
        <f>cst_wskakunin_sekkei2_JIMU_TOUROKU_KIKAN</f>
        <v/>
      </c>
      <c r="S33" s="776"/>
      <c r="T33" s="782" t="s">
        <v>2918</v>
      </c>
      <c r="U33" s="782"/>
      <c r="V33" s="782"/>
      <c r="W33" s="782"/>
      <c r="X33" s="776" t="str">
        <f>cst_wskakunin_sekkei2_JIMU_NO</f>
        <v/>
      </c>
      <c r="Y33" s="776"/>
      <c r="Z33" s="776"/>
      <c r="AA33" s="261" t="s">
        <v>2849</v>
      </c>
    </row>
    <row r="34" spans="2:30" s="258" customFormat="1" ht="15" customHeight="1">
      <c r="I34" s="775" t="str">
        <f>cst_wskakunin_sekkei2_JIMU_NAME</f>
        <v/>
      </c>
      <c r="J34" s="775"/>
      <c r="K34" s="775"/>
      <c r="L34" s="775"/>
      <c r="M34" s="775"/>
      <c r="N34" s="775"/>
      <c r="O34" s="775"/>
      <c r="P34" s="775"/>
      <c r="Q34" s="775"/>
      <c r="R34" s="775"/>
      <c r="S34" s="775"/>
      <c r="T34" s="775"/>
      <c r="U34" s="775"/>
      <c r="V34" s="775"/>
      <c r="W34" s="775"/>
      <c r="X34" s="775"/>
      <c r="Y34" s="775"/>
      <c r="Z34" s="775"/>
      <c r="AA34" s="775"/>
      <c r="AB34" s="775"/>
      <c r="AC34" s="775"/>
      <c r="AD34" s="775"/>
    </row>
    <row r="35" spans="2:30" s="258" customFormat="1" ht="15" customHeight="1">
      <c r="D35" s="259" t="s">
        <v>2919</v>
      </c>
      <c r="F35" s="259"/>
      <c r="G35" s="259"/>
      <c r="H35" s="259"/>
      <c r="I35" s="775" t="str">
        <f>cst_wskakunin_sekkei2_ZIP</f>
        <v/>
      </c>
      <c r="J35" s="775"/>
      <c r="K35" s="775"/>
      <c r="L35" s="775"/>
      <c r="M35" s="775"/>
      <c r="N35" s="775"/>
      <c r="O35" s="775"/>
      <c r="P35" s="775"/>
      <c r="Q35" s="775"/>
      <c r="R35" s="775"/>
      <c r="S35" s="775"/>
      <c r="T35" s="775"/>
      <c r="U35" s="775"/>
      <c r="V35" s="775"/>
      <c r="W35" s="775"/>
      <c r="X35" s="775"/>
      <c r="Y35" s="775"/>
      <c r="Z35" s="775"/>
      <c r="AA35" s="775"/>
      <c r="AB35" s="775"/>
      <c r="AC35" s="775"/>
      <c r="AD35" s="775"/>
    </row>
    <row r="36" spans="2:30" s="258" customFormat="1" ht="15" customHeight="1">
      <c r="D36" s="258" t="s">
        <v>2920</v>
      </c>
      <c r="F36" s="259"/>
      <c r="G36" s="259"/>
      <c r="H36" s="259"/>
      <c r="I36" s="775" t="str">
        <f>cst_wskakunin_sekkei2__address</f>
        <v/>
      </c>
      <c r="J36" s="775"/>
      <c r="K36" s="775"/>
      <c r="L36" s="775"/>
      <c r="M36" s="775"/>
      <c r="N36" s="775"/>
      <c r="O36" s="775"/>
      <c r="P36" s="775"/>
      <c r="Q36" s="775"/>
      <c r="R36" s="775"/>
      <c r="S36" s="775"/>
      <c r="T36" s="775"/>
      <c r="U36" s="775"/>
      <c r="V36" s="775"/>
      <c r="W36" s="775"/>
      <c r="X36" s="775"/>
      <c r="Y36" s="775"/>
      <c r="Z36" s="775"/>
      <c r="AA36" s="775"/>
      <c r="AB36" s="775"/>
      <c r="AC36" s="775"/>
      <c r="AD36" s="775"/>
    </row>
    <row r="37" spans="2:30" s="258" customFormat="1" ht="15" customHeight="1">
      <c r="D37" s="259" t="s">
        <v>2921</v>
      </c>
      <c r="F37" s="259"/>
      <c r="G37" s="259"/>
      <c r="H37" s="259"/>
      <c r="I37" s="775" t="str">
        <f>cst_wskakunin_sekkei2_TEL</f>
        <v/>
      </c>
      <c r="J37" s="775"/>
      <c r="K37" s="775"/>
      <c r="L37" s="775"/>
      <c r="M37" s="775"/>
      <c r="N37" s="775"/>
      <c r="O37" s="775"/>
      <c r="P37" s="775"/>
      <c r="Q37" s="775"/>
      <c r="R37" s="775"/>
      <c r="S37" s="775"/>
      <c r="T37" s="775"/>
      <c r="U37" s="775"/>
      <c r="V37" s="775"/>
      <c r="W37" s="775"/>
      <c r="X37" s="775"/>
      <c r="Y37" s="775"/>
      <c r="Z37" s="775"/>
      <c r="AA37" s="775"/>
      <c r="AB37" s="775"/>
      <c r="AC37" s="775"/>
      <c r="AD37" s="775"/>
    </row>
    <row r="38" spans="2:30" s="258" customFormat="1" ht="15" customHeight="1">
      <c r="B38" s="265"/>
      <c r="C38" s="265"/>
      <c r="D38" s="268" t="s">
        <v>2924</v>
      </c>
      <c r="E38" s="268"/>
      <c r="F38" s="268"/>
      <c r="G38" s="268"/>
      <c r="H38" s="268"/>
      <c r="I38" s="268"/>
      <c r="J38" s="268"/>
      <c r="K38" s="268"/>
      <c r="L38" s="783" t="str">
        <f>cst_wskakunin_sekkei2_DOC</f>
        <v/>
      </c>
      <c r="M38" s="783"/>
      <c r="N38" s="783"/>
      <c r="O38" s="783"/>
      <c r="P38" s="783"/>
      <c r="Q38" s="783"/>
      <c r="R38" s="783"/>
      <c r="S38" s="783"/>
      <c r="T38" s="783"/>
      <c r="U38" s="783"/>
      <c r="V38" s="783"/>
      <c r="W38" s="783"/>
      <c r="X38" s="783"/>
      <c r="Y38" s="783"/>
      <c r="Z38" s="783"/>
      <c r="AA38" s="783"/>
      <c r="AB38" s="783"/>
      <c r="AC38" s="783"/>
      <c r="AD38" s="783"/>
    </row>
    <row r="39" spans="2:30" s="258" customFormat="1" ht="15" customHeight="1">
      <c r="D39" s="259" t="s">
        <v>2911</v>
      </c>
      <c r="F39" s="259"/>
      <c r="G39" s="259"/>
      <c r="H39" s="259"/>
      <c r="I39" s="261" t="s">
        <v>2912</v>
      </c>
      <c r="J39" s="776" t="str">
        <f>cst_wskakunin_sekkei3_SIKAKU</f>
        <v/>
      </c>
      <c r="K39" s="776"/>
      <c r="L39" s="262" t="s">
        <v>2913</v>
      </c>
      <c r="M39" s="258" t="s">
        <v>2914</v>
      </c>
      <c r="Q39" s="259" t="s">
        <v>2912</v>
      </c>
      <c r="R39" s="776" t="str">
        <f>cst_wskakunin_sekkei3_TOUROKU_KIKAN</f>
        <v/>
      </c>
      <c r="S39" s="776"/>
      <c r="T39" s="776"/>
      <c r="U39" s="262" t="s">
        <v>2913</v>
      </c>
      <c r="W39" s="261" t="s">
        <v>2915</v>
      </c>
      <c r="X39" s="776" t="str">
        <f>cst_wskakunin_sekkei3_KENTIKUSI_NO</f>
        <v/>
      </c>
      <c r="Y39" s="776"/>
      <c r="Z39" s="776"/>
      <c r="AA39" s="261" t="s">
        <v>2849</v>
      </c>
    </row>
    <row r="40" spans="2:30" s="258" customFormat="1" ht="15" customHeight="1">
      <c r="D40" s="259" t="s">
        <v>2908</v>
      </c>
      <c r="F40" s="259"/>
      <c r="G40" s="259"/>
      <c r="H40" s="259"/>
      <c r="I40" s="775" t="str">
        <f>cst_wskakunin_sekkei3_NAME</f>
        <v/>
      </c>
      <c r="J40" s="775"/>
      <c r="K40" s="775"/>
      <c r="L40" s="775"/>
      <c r="M40" s="775"/>
      <c r="N40" s="775"/>
      <c r="O40" s="775"/>
      <c r="P40" s="775"/>
      <c r="Q40" s="775"/>
      <c r="R40" s="775"/>
      <c r="S40" s="775"/>
      <c r="T40" s="775"/>
      <c r="U40" s="775"/>
      <c r="V40" s="775"/>
      <c r="W40" s="775"/>
      <c r="X40" s="775"/>
      <c r="Y40" s="775"/>
      <c r="Z40" s="775"/>
      <c r="AA40" s="775"/>
      <c r="AB40" s="775"/>
      <c r="AC40" s="775"/>
      <c r="AD40" s="775"/>
    </row>
    <row r="41" spans="2:30" s="258" customFormat="1" ht="15" customHeight="1">
      <c r="D41" s="259" t="s">
        <v>2916</v>
      </c>
      <c r="I41" s="261" t="s">
        <v>2912</v>
      </c>
      <c r="J41" s="776" t="str">
        <f>cst_wskakunin_sekkei3_JIMU_SIKAKU</f>
        <v/>
      </c>
      <c r="K41" s="776"/>
      <c r="L41" s="262" t="s">
        <v>2913</v>
      </c>
      <c r="M41" s="258" t="s">
        <v>2917</v>
      </c>
      <c r="Q41" s="259" t="s">
        <v>2912</v>
      </c>
      <c r="R41" s="776" t="str">
        <f>cst_wskakunin_sekkei3_JIMU_TOUROKU_KIKAN</f>
        <v/>
      </c>
      <c r="S41" s="776"/>
      <c r="T41" s="782" t="s">
        <v>2918</v>
      </c>
      <c r="U41" s="782"/>
      <c r="V41" s="782"/>
      <c r="W41" s="782"/>
      <c r="X41" s="776" t="str">
        <f>cst_wskakunin_sekkei3_JIMU_NO</f>
        <v/>
      </c>
      <c r="Y41" s="776"/>
      <c r="Z41" s="776"/>
      <c r="AA41" s="261" t="s">
        <v>2849</v>
      </c>
    </row>
    <row r="42" spans="2:30" s="258" customFormat="1" ht="15" customHeight="1">
      <c r="I42" s="775" t="str">
        <f>cst_wskakunin_sekkei3_JIMU_NAME</f>
        <v/>
      </c>
      <c r="J42" s="775"/>
      <c r="K42" s="775"/>
      <c r="L42" s="775"/>
      <c r="M42" s="775"/>
      <c r="N42" s="775"/>
      <c r="O42" s="775"/>
      <c r="P42" s="775"/>
      <c r="Q42" s="775"/>
      <c r="R42" s="775"/>
      <c r="S42" s="775"/>
      <c r="T42" s="775"/>
      <c r="U42" s="775"/>
      <c r="V42" s="775"/>
      <c r="W42" s="775"/>
      <c r="X42" s="775"/>
      <c r="Y42" s="775"/>
      <c r="Z42" s="775"/>
      <c r="AA42" s="775"/>
      <c r="AB42" s="775"/>
      <c r="AC42" s="775"/>
      <c r="AD42" s="775"/>
    </row>
    <row r="43" spans="2:30" s="258" customFormat="1" ht="15" customHeight="1">
      <c r="D43" s="259" t="s">
        <v>2919</v>
      </c>
      <c r="F43" s="259"/>
      <c r="G43" s="259"/>
      <c r="H43" s="259"/>
      <c r="I43" s="775" t="str">
        <f>cst_wskakunin_sekkei3_ZIP</f>
        <v/>
      </c>
      <c r="J43" s="775"/>
      <c r="K43" s="775"/>
      <c r="L43" s="775"/>
      <c r="M43" s="775"/>
      <c r="N43" s="775"/>
      <c r="O43" s="775"/>
      <c r="P43" s="775"/>
      <c r="Q43" s="775"/>
      <c r="R43" s="775"/>
      <c r="S43" s="775"/>
      <c r="T43" s="775"/>
      <c r="U43" s="775"/>
      <c r="V43" s="775"/>
      <c r="W43" s="775"/>
      <c r="X43" s="775"/>
      <c r="Y43" s="775"/>
      <c r="Z43" s="775"/>
      <c r="AA43" s="775"/>
      <c r="AB43" s="775"/>
      <c r="AC43" s="775"/>
      <c r="AD43" s="775"/>
    </row>
    <row r="44" spans="2:30" s="258" customFormat="1" ht="15" customHeight="1">
      <c r="D44" s="258" t="s">
        <v>2920</v>
      </c>
      <c r="F44" s="259"/>
      <c r="G44" s="259"/>
      <c r="H44" s="259"/>
      <c r="I44" s="775" t="str">
        <f>cst_wskakunin_sekkei3__address</f>
        <v/>
      </c>
      <c r="J44" s="775"/>
      <c r="K44" s="775"/>
      <c r="L44" s="775"/>
      <c r="M44" s="775"/>
      <c r="N44" s="775"/>
      <c r="O44" s="775"/>
      <c r="P44" s="775"/>
      <c r="Q44" s="775"/>
      <c r="R44" s="775"/>
      <c r="S44" s="775"/>
      <c r="T44" s="775"/>
      <c r="U44" s="775"/>
      <c r="V44" s="775"/>
      <c r="W44" s="775"/>
      <c r="X44" s="775"/>
      <c r="Y44" s="775"/>
      <c r="Z44" s="775"/>
      <c r="AA44" s="775"/>
      <c r="AB44" s="775"/>
      <c r="AC44" s="775"/>
      <c r="AD44" s="775"/>
    </row>
    <row r="45" spans="2:30" s="258" customFormat="1" ht="15" customHeight="1">
      <c r="D45" s="259" t="s">
        <v>2921</v>
      </c>
      <c r="F45" s="259"/>
      <c r="G45" s="259"/>
      <c r="H45" s="259"/>
      <c r="I45" s="775" t="str">
        <f>cst_wskakunin_sekkei3_TEL</f>
        <v/>
      </c>
      <c r="J45" s="775"/>
      <c r="K45" s="775"/>
      <c r="L45" s="775"/>
      <c r="M45" s="775"/>
      <c r="N45" s="775"/>
      <c r="O45" s="775"/>
      <c r="P45" s="775"/>
      <c r="Q45" s="775"/>
      <c r="R45" s="775"/>
      <c r="S45" s="775"/>
      <c r="T45" s="775"/>
      <c r="U45" s="775"/>
      <c r="V45" s="775"/>
      <c r="W45" s="775"/>
      <c r="X45" s="775"/>
      <c r="Y45" s="775"/>
      <c r="Z45" s="775"/>
      <c r="AA45" s="775"/>
      <c r="AB45" s="775"/>
      <c r="AC45" s="775"/>
      <c r="AD45" s="775"/>
    </row>
    <row r="46" spans="2:30" s="258" customFormat="1" ht="15" customHeight="1">
      <c r="B46" s="265"/>
      <c r="C46" s="265"/>
      <c r="D46" s="268" t="s">
        <v>2924</v>
      </c>
      <c r="E46" s="268"/>
      <c r="F46" s="268"/>
      <c r="G46" s="268"/>
      <c r="H46" s="268"/>
      <c r="I46" s="268"/>
      <c r="J46" s="268"/>
      <c r="K46" s="268"/>
      <c r="L46" s="783" t="str">
        <f>cst_wskakunin_sekkei3_DOC</f>
        <v/>
      </c>
      <c r="M46" s="783"/>
      <c r="N46" s="783"/>
      <c r="O46" s="783"/>
      <c r="P46" s="783"/>
      <c r="Q46" s="783"/>
      <c r="R46" s="783"/>
      <c r="S46" s="783"/>
      <c r="T46" s="783"/>
      <c r="U46" s="783"/>
      <c r="V46" s="783"/>
      <c r="W46" s="783"/>
      <c r="X46" s="783"/>
      <c r="Y46" s="783"/>
      <c r="Z46" s="783"/>
      <c r="AA46" s="783"/>
      <c r="AB46" s="783"/>
      <c r="AC46" s="783"/>
      <c r="AD46" s="783"/>
    </row>
    <row r="47" spans="2:30" s="258" customFormat="1" ht="15" customHeight="1">
      <c r="D47" s="259" t="s">
        <v>2911</v>
      </c>
      <c r="F47" s="259"/>
      <c r="G47" s="259"/>
      <c r="H47" s="259"/>
      <c r="I47" s="261" t="s">
        <v>2912</v>
      </c>
      <c r="J47" s="776" t="str">
        <f>cst_wskakunin_sekkei4_SIKAKU</f>
        <v/>
      </c>
      <c r="K47" s="776"/>
      <c r="L47" s="262" t="s">
        <v>2913</v>
      </c>
      <c r="M47" s="258" t="s">
        <v>2914</v>
      </c>
      <c r="Q47" s="259" t="s">
        <v>2912</v>
      </c>
      <c r="R47" s="776" t="str">
        <f>cst_wskakunin_sekkei4_TOUROKU_KIKAN</f>
        <v/>
      </c>
      <c r="S47" s="776"/>
      <c r="T47" s="776"/>
      <c r="U47" s="262" t="s">
        <v>2913</v>
      </c>
      <c r="W47" s="261" t="s">
        <v>2915</v>
      </c>
      <c r="X47" s="776" t="str">
        <f>cst_wskakunin_sekkei4_KENTIKUSI_NO</f>
        <v/>
      </c>
      <c r="Y47" s="776"/>
      <c r="Z47" s="776"/>
      <c r="AA47" s="261" t="s">
        <v>2849</v>
      </c>
    </row>
    <row r="48" spans="2:30" s="258" customFormat="1" ht="15" customHeight="1">
      <c r="D48" s="259" t="s">
        <v>2908</v>
      </c>
      <c r="F48" s="259"/>
      <c r="G48" s="259"/>
      <c r="H48" s="259"/>
      <c r="I48" s="775" t="str">
        <f>cst_wskakunin_sekkei4_NAME</f>
        <v/>
      </c>
      <c r="J48" s="775"/>
      <c r="K48" s="775"/>
      <c r="L48" s="775"/>
      <c r="M48" s="775"/>
      <c r="N48" s="775"/>
      <c r="O48" s="775"/>
      <c r="P48" s="775"/>
      <c r="Q48" s="775"/>
      <c r="R48" s="775"/>
      <c r="S48" s="775"/>
      <c r="T48" s="775"/>
      <c r="U48" s="775"/>
      <c r="V48" s="775"/>
      <c r="W48" s="775"/>
      <c r="X48" s="775"/>
      <c r="Y48" s="775"/>
      <c r="Z48" s="775"/>
      <c r="AA48" s="775"/>
      <c r="AB48" s="775"/>
      <c r="AC48" s="775"/>
      <c r="AD48" s="775"/>
    </row>
    <row r="49" spans="3:30" s="258" customFormat="1" ht="15" customHeight="1">
      <c r="D49" s="259" t="s">
        <v>2916</v>
      </c>
      <c r="I49" s="261" t="s">
        <v>2912</v>
      </c>
      <c r="J49" s="776" t="str">
        <f>cst_wskakunin_sekkei4_JIMU_SIKAKU</f>
        <v/>
      </c>
      <c r="K49" s="776"/>
      <c r="L49" s="262" t="s">
        <v>2913</v>
      </c>
      <c r="M49" s="258" t="s">
        <v>2917</v>
      </c>
      <c r="Q49" s="259" t="s">
        <v>2912</v>
      </c>
      <c r="R49" s="776" t="str">
        <f>cst_wskakunin_sekkei4_JIMU_TOUROKU_KIKAN</f>
        <v/>
      </c>
      <c r="S49" s="776"/>
      <c r="T49" s="782" t="s">
        <v>2918</v>
      </c>
      <c r="U49" s="782"/>
      <c r="V49" s="782"/>
      <c r="W49" s="782"/>
      <c r="X49" s="776" t="str">
        <f>cst_wskakunin_sekkei4_JIMU_NO</f>
        <v/>
      </c>
      <c r="Y49" s="776"/>
      <c r="Z49" s="776"/>
      <c r="AA49" s="261" t="s">
        <v>2849</v>
      </c>
    </row>
    <row r="50" spans="3:30" s="258" customFormat="1" ht="15" customHeight="1">
      <c r="I50" s="775" t="str">
        <f>cst_wskakunin_sekkei4_JIMU_NAME</f>
        <v/>
      </c>
      <c r="J50" s="775"/>
      <c r="K50" s="775"/>
      <c r="L50" s="775"/>
      <c r="M50" s="775"/>
      <c r="N50" s="775"/>
      <c r="O50" s="775"/>
      <c r="P50" s="775"/>
      <c r="Q50" s="775"/>
      <c r="R50" s="775"/>
      <c r="S50" s="775"/>
      <c r="T50" s="775"/>
      <c r="U50" s="775"/>
      <c r="V50" s="775"/>
      <c r="W50" s="775"/>
      <c r="X50" s="775"/>
      <c r="Y50" s="775"/>
      <c r="Z50" s="775"/>
      <c r="AA50" s="775"/>
      <c r="AB50" s="775"/>
      <c r="AC50" s="775"/>
      <c r="AD50" s="775"/>
    </row>
    <row r="51" spans="3:30" s="258" customFormat="1" ht="15" customHeight="1">
      <c r="D51" s="259" t="s">
        <v>2919</v>
      </c>
      <c r="F51" s="259"/>
      <c r="G51" s="259"/>
      <c r="H51" s="259"/>
      <c r="I51" s="775" t="str">
        <f>cst_wskakunin_sekkei4_ZIP</f>
        <v/>
      </c>
      <c r="J51" s="775"/>
      <c r="K51" s="775"/>
      <c r="L51" s="775"/>
      <c r="M51" s="775"/>
      <c r="N51" s="775"/>
      <c r="O51" s="775"/>
      <c r="P51" s="775"/>
      <c r="Q51" s="775"/>
      <c r="R51" s="775"/>
      <c r="S51" s="775"/>
      <c r="T51" s="775"/>
      <c r="U51" s="775"/>
      <c r="V51" s="775"/>
      <c r="W51" s="775"/>
      <c r="X51" s="775"/>
      <c r="Y51" s="775"/>
      <c r="Z51" s="775"/>
      <c r="AA51" s="775"/>
      <c r="AB51" s="775"/>
      <c r="AC51" s="775"/>
      <c r="AD51" s="775"/>
    </row>
    <row r="52" spans="3:30" s="258" customFormat="1" ht="15" customHeight="1">
      <c r="D52" s="258" t="s">
        <v>2920</v>
      </c>
      <c r="F52" s="259"/>
      <c r="G52" s="259"/>
      <c r="H52" s="259"/>
      <c r="I52" s="775" t="str">
        <f>cst_wskakunin_sekkei4__address</f>
        <v/>
      </c>
      <c r="J52" s="775"/>
      <c r="K52" s="775"/>
      <c r="L52" s="775"/>
      <c r="M52" s="775"/>
      <c r="N52" s="775"/>
      <c r="O52" s="775"/>
      <c r="P52" s="775"/>
      <c r="Q52" s="775"/>
      <c r="R52" s="775"/>
      <c r="S52" s="775"/>
      <c r="T52" s="775"/>
      <c r="U52" s="775"/>
      <c r="V52" s="775"/>
      <c r="W52" s="775"/>
      <c r="X52" s="775"/>
      <c r="Y52" s="775"/>
      <c r="Z52" s="775"/>
      <c r="AA52" s="775"/>
      <c r="AB52" s="775"/>
      <c r="AC52" s="775"/>
      <c r="AD52" s="775"/>
    </row>
    <row r="53" spans="3:30" s="258" customFormat="1" ht="15" customHeight="1">
      <c r="D53" s="259" t="s">
        <v>2921</v>
      </c>
      <c r="F53" s="259"/>
      <c r="G53" s="259"/>
      <c r="H53" s="259"/>
      <c r="I53" s="775" t="str">
        <f>cst_wskakunin_sekkei4_TEL</f>
        <v/>
      </c>
      <c r="J53" s="775"/>
      <c r="K53" s="775"/>
      <c r="L53" s="775"/>
      <c r="M53" s="775"/>
      <c r="N53" s="775"/>
      <c r="O53" s="775"/>
      <c r="P53" s="775"/>
      <c r="Q53" s="775"/>
      <c r="R53" s="775"/>
      <c r="S53" s="775"/>
      <c r="T53" s="775"/>
      <c r="U53" s="775"/>
      <c r="V53" s="775"/>
      <c r="W53" s="775"/>
      <c r="X53" s="775"/>
      <c r="Y53" s="775"/>
      <c r="Z53" s="775"/>
      <c r="AA53" s="775"/>
      <c r="AB53" s="775"/>
      <c r="AC53" s="775"/>
      <c r="AD53" s="775"/>
    </row>
    <row r="54" spans="3:30" s="258" customFormat="1" ht="15" customHeight="1">
      <c r="D54" s="268" t="s">
        <v>2924</v>
      </c>
      <c r="E54" s="268"/>
      <c r="F54" s="268"/>
      <c r="G54" s="268"/>
      <c r="H54" s="268"/>
      <c r="I54" s="268"/>
      <c r="J54" s="268"/>
      <c r="K54" s="268"/>
      <c r="L54" s="783" t="str">
        <f>cst_wskakunin_sekkei4_DOC</f>
        <v/>
      </c>
      <c r="M54" s="783"/>
      <c r="N54" s="783"/>
      <c r="O54" s="783"/>
      <c r="P54" s="783"/>
      <c r="Q54" s="783"/>
      <c r="R54" s="783"/>
      <c r="S54" s="783"/>
      <c r="T54" s="783"/>
      <c r="U54" s="783"/>
      <c r="V54" s="783"/>
      <c r="W54" s="783"/>
      <c r="X54" s="783"/>
      <c r="Y54" s="783"/>
      <c r="Z54" s="783"/>
      <c r="AA54" s="783"/>
      <c r="AB54" s="783"/>
      <c r="AC54" s="783"/>
      <c r="AD54" s="783"/>
    </row>
    <row r="55" spans="3:30" s="258" customFormat="1" ht="15" customHeight="1">
      <c r="C55" s="258" t="s">
        <v>2926</v>
      </c>
      <c r="I55" s="259"/>
      <c r="J55" s="259"/>
      <c r="K55" s="259"/>
      <c r="L55" s="259"/>
      <c r="M55" s="259"/>
      <c r="N55" s="259"/>
      <c r="O55" s="259"/>
      <c r="P55" s="259"/>
      <c r="Q55" s="259"/>
      <c r="R55" s="259"/>
      <c r="S55" s="259"/>
      <c r="T55" s="259"/>
      <c r="U55" s="259"/>
      <c r="V55" s="259"/>
      <c r="W55" s="259"/>
      <c r="X55" s="259"/>
      <c r="Y55" s="259"/>
      <c r="Z55" s="259"/>
      <c r="AA55" s="259"/>
      <c r="AB55" s="259"/>
      <c r="AC55" s="259"/>
      <c r="AD55" s="259"/>
    </row>
    <row r="56" spans="3:30" s="258" customFormat="1" ht="15" customHeight="1">
      <c r="C56" s="258" t="s">
        <v>2927</v>
      </c>
      <c r="I56" s="259"/>
      <c r="J56" s="259"/>
      <c r="K56" s="259"/>
      <c r="L56" s="259"/>
      <c r="M56" s="259"/>
      <c r="N56" s="259"/>
      <c r="O56" s="259"/>
      <c r="P56" s="259"/>
      <c r="Q56" s="259"/>
      <c r="R56" s="259"/>
      <c r="S56" s="259"/>
      <c r="T56" s="259"/>
      <c r="U56" s="259"/>
      <c r="V56" s="259"/>
      <c r="W56" s="259"/>
      <c r="X56" s="259"/>
      <c r="Y56" s="259"/>
      <c r="Z56" s="259"/>
      <c r="AA56" s="259"/>
      <c r="AB56" s="259"/>
      <c r="AC56" s="259"/>
      <c r="AD56" s="259"/>
    </row>
    <row r="57" spans="3:30" s="258" customFormat="1" ht="15" customHeight="1">
      <c r="D57" s="258" t="s">
        <v>2928</v>
      </c>
      <c r="I57" s="259"/>
      <c r="J57" s="259"/>
      <c r="K57" s="259"/>
      <c r="L57" s="259"/>
      <c r="M57" s="259"/>
      <c r="N57" s="259"/>
      <c r="O57" s="259"/>
      <c r="P57" s="259"/>
      <c r="Q57" s="259"/>
      <c r="R57" s="259"/>
      <c r="S57" s="259"/>
      <c r="T57" s="259"/>
      <c r="U57" s="259"/>
      <c r="V57" s="259"/>
      <c r="W57" s="259"/>
      <c r="X57" s="259"/>
      <c r="Y57" s="259"/>
      <c r="Z57" s="259"/>
      <c r="AA57" s="259"/>
      <c r="AB57" s="259"/>
      <c r="AC57" s="259"/>
      <c r="AD57" s="259"/>
    </row>
    <row r="58" spans="3:30" s="258" customFormat="1" ht="15" customHeight="1">
      <c r="D58" s="258" t="s">
        <v>2929</v>
      </c>
      <c r="I58" s="259"/>
      <c r="J58" s="259"/>
      <c r="K58" s="259"/>
      <c r="L58" s="259"/>
      <c r="M58" s="259"/>
      <c r="N58" s="259"/>
      <c r="O58" s="259"/>
      <c r="P58" s="775" t="str">
        <f>cst_wskakunin_20kouzou101_NAME</f>
        <v/>
      </c>
      <c r="Q58" s="775"/>
      <c r="R58" s="775"/>
      <c r="S58" s="775"/>
      <c r="T58" s="775"/>
      <c r="U58" s="775"/>
      <c r="V58" s="775"/>
      <c r="W58" s="775"/>
      <c r="X58" s="775"/>
      <c r="Y58" s="775"/>
      <c r="Z58" s="775"/>
      <c r="AA58" s="259"/>
      <c r="AB58" s="259"/>
      <c r="AC58" s="259"/>
      <c r="AD58" s="259"/>
    </row>
    <row r="59" spans="3:30" s="258" customFormat="1" ht="15" customHeight="1">
      <c r="D59" s="259" t="s">
        <v>2930</v>
      </c>
      <c r="I59" s="784" t="s">
        <v>2931</v>
      </c>
      <c r="J59" s="784"/>
      <c r="K59" s="784"/>
      <c r="L59" s="784"/>
      <c r="M59" s="784"/>
      <c r="N59" s="784"/>
      <c r="O59" s="784"/>
      <c r="P59" s="775" t="str">
        <f>cst_wskakunin_20kouzou101_KOUZOUSEKKEI_KOUFU_NO</f>
        <v/>
      </c>
      <c r="Q59" s="775"/>
      <c r="R59" s="775"/>
      <c r="S59" s="775"/>
      <c r="T59" s="775"/>
      <c r="U59" s="775"/>
      <c r="V59" s="775"/>
      <c r="W59" s="775"/>
      <c r="X59" s="775"/>
      <c r="Y59" s="775"/>
      <c r="Z59" s="775"/>
      <c r="AA59" s="261" t="s">
        <v>2849</v>
      </c>
      <c r="AB59" s="259"/>
      <c r="AC59" s="259"/>
      <c r="AD59" s="259"/>
    </row>
    <row r="60" spans="3:30" s="258" customFormat="1" ht="15" customHeight="1">
      <c r="D60" s="258" t="s">
        <v>2932</v>
      </c>
      <c r="I60" s="259"/>
      <c r="J60" s="259"/>
      <c r="K60" s="259"/>
      <c r="L60" s="259"/>
      <c r="M60" s="259"/>
      <c r="N60" s="259"/>
      <c r="O60" s="259"/>
      <c r="P60" s="259"/>
      <c r="Q60" s="259"/>
      <c r="R60" s="259"/>
      <c r="S60" s="259"/>
      <c r="T60" s="259"/>
      <c r="U60" s="259"/>
      <c r="V60" s="259"/>
      <c r="W60" s="259"/>
      <c r="X60" s="259"/>
      <c r="Y60" s="259"/>
      <c r="Z60" s="259"/>
      <c r="AA60" s="259"/>
      <c r="AB60" s="259"/>
      <c r="AC60" s="259"/>
      <c r="AD60" s="259"/>
    </row>
    <row r="61" spans="3:30" s="258" customFormat="1" ht="15" customHeight="1">
      <c r="D61" s="258" t="s">
        <v>2929</v>
      </c>
      <c r="I61" s="259"/>
      <c r="J61" s="259"/>
      <c r="K61" s="259"/>
      <c r="L61" s="259"/>
      <c r="M61" s="259"/>
      <c r="N61" s="259"/>
      <c r="O61" s="259"/>
      <c r="P61" s="775" t="str">
        <f>cst_wskakunin_20kouzou301_NAME</f>
        <v/>
      </c>
      <c r="Q61" s="775"/>
      <c r="R61" s="775"/>
      <c r="S61" s="775"/>
      <c r="T61" s="775"/>
      <c r="U61" s="775"/>
      <c r="V61" s="775"/>
      <c r="W61" s="775"/>
      <c r="X61" s="775"/>
      <c r="Y61" s="775"/>
      <c r="Z61" s="775"/>
      <c r="AA61" s="259"/>
      <c r="AB61" s="259"/>
      <c r="AC61" s="259"/>
      <c r="AD61" s="259"/>
    </row>
    <row r="62" spans="3:30" s="258" customFormat="1" ht="15" customHeight="1">
      <c r="D62" s="259" t="s">
        <v>2930</v>
      </c>
      <c r="I62" s="784" t="s">
        <v>2931</v>
      </c>
      <c r="J62" s="784"/>
      <c r="K62" s="784"/>
      <c r="L62" s="784"/>
      <c r="M62" s="784"/>
      <c r="N62" s="784"/>
      <c r="O62" s="784"/>
      <c r="P62" s="775" t="str">
        <f>cst_wskakunin_20kouzou301_KOUZOUSEKKEI_KOUFU_NO</f>
        <v/>
      </c>
      <c r="Q62" s="775"/>
      <c r="R62" s="775"/>
      <c r="S62" s="775"/>
      <c r="T62" s="775"/>
      <c r="U62" s="775"/>
      <c r="V62" s="775"/>
      <c r="W62" s="775"/>
      <c r="X62" s="775"/>
      <c r="Y62" s="775"/>
      <c r="Z62" s="775"/>
      <c r="AA62" s="261" t="s">
        <v>2849</v>
      </c>
      <c r="AB62" s="259"/>
      <c r="AC62" s="259"/>
      <c r="AD62" s="259"/>
    </row>
    <row r="63" spans="3:30" s="258" customFormat="1" ht="15" customHeight="1">
      <c r="D63" s="258" t="s">
        <v>2933</v>
      </c>
      <c r="I63" s="259"/>
      <c r="J63" s="259"/>
      <c r="K63" s="259"/>
      <c r="L63" s="259"/>
      <c r="M63" s="259"/>
      <c r="N63" s="259"/>
      <c r="O63" s="259"/>
      <c r="P63" s="259"/>
      <c r="Q63" s="259"/>
      <c r="R63" s="259"/>
      <c r="S63" s="259"/>
      <c r="T63" s="259"/>
      <c r="U63" s="259"/>
      <c r="V63" s="259"/>
      <c r="W63" s="259"/>
      <c r="X63" s="259"/>
      <c r="Y63" s="259"/>
      <c r="Z63" s="259"/>
      <c r="AA63" s="259"/>
      <c r="AB63" s="259"/>
      <c r="AC63" s="259"/>
      <c r="AD63" s="259"/>
    </row>
    <row r="64" spans="3:30" s="258" customFormat="1" ht="15" customHeight="1">
      <c r="D64" s="258" t="s">
        <v>2929</v>
      </c>
      <c r="I64" s="259"/>
      <c r="J64" s="259"/>
      <c r="K64" s="259"/>
      <c r="L64" s="259"/>
      <c r="M64" s="259"/>
      <c r="N64" s="259"/>
      <c r="O64" s="259"/>
      <c r="P64" s="775" t="str">
        <f>cst_wskakunin_20setubi101_NAME</f>
        <v/>
      </c>
      <c r="Q64" s="775"/>
      <c r="R64" s="775"/>
      <c r="S64" s="775"/>
      <c r="T64" s="775"/>
      <c r="U64" s="775"/>
      <c r="V64" s="775"/>
      <c r="W64" s="775"/>
      <c r="X64" s="775"/>
      <c r="Y64" s="775"/>
      <c r="Z64" s="775"/>
      <c r="AA64" s="259"/>
      <c r="AB64" s="259"/>
      <c r="AC64" s="259"/>
      <c r="AD64" s="259"/>
    </row>
    <row r="65" spans="2:30" s="258" customFormat="1" ht="15" customHeight="1">
      <c r="D65" s="259" t="s">
        <v>2930</v>
      </c>
      <c r="I65" s="784" t="s">
        <v>2934</v>
      </c>
      <c r="J65" s="784"/>
      <c r="K65" s="784"/>
      <c r="L65" s="784"/>
      <c r="M65" s="784"/>
      <c r="N65" s="784"/>
      <c r="O65" s="784"/>
      <c r="P65" s="775" t="str">
        <f>cst_wskakunin_20setubi101_SETUBISEKKEI_KOUFU_NO</f>
        <v/>
      </c>
      <c r="Q65" s="775"/>
      <c r="R65" s="775"/>
      <c r="S65" s="775"/>
      <c r="T65" s="775"/>
      <c r="U65" s="775"/>
      <c r="V65" s="775"/>
      <c r="W65" s="775"/>
      <c r="X65" s="775"/>
      <c r="Y65" s="775"/>
      <c r="Z65" s="775"/>
      <c r="AA65" s="261" t="s">
        <v>2849</v>
      </c>
      <c r="AB65" s="259"/>
      <c r="AC65" s="259"/>
      <c r="AD65" s="259"/>
    </row>
    <row r="66" spans="2:30" s="258" customFormat="1" ht="15" customHeight="1">
      <c r="D66" s="258" t="s">
        <v>2929</v>
      </c>
      <c r="I66" s="259"/>
      <c r="J66" s="259"/>
      <c r="K66" s="259"/>
      <c r="L66" s="259"/>
      <c r="M66" s="259"/>
      <c r="N66" s="259"/>
      <c r="O66" s="259"/>
      <c r="P66" s="775" t="str">
        <f>cst_wskakunin_20setubi102_NAME</f>
        <v/>
      </c>
      <c r="Q66" s="775"/>
      <c r="R66" s="775"/>
      <c r="S66" s="775"/>
      <c r="T66" s="775"/>
      <c r="U66" s="775"/>
      <c r="V66" s="775"/>
      <c r="W66" s="775"/>
      <c r="X66" s="775"/>
      <c r="Y66" s="775"/>
      <c r="Z66" s="775"/>
      <c r="AA66" s="259"/>
      <c r="AB66" s="259"/>
      <c r="AC66" s="259"/>
      <c r="AD66" s="259"/>
    </row>
    <row r="67" spans="2:30" s="258" customFormat="1" ht="15" customHeight="1">
      <c r="D67" s="259" t="s">
        <v>2930</v>
      </c>
      <c r="I67" s="784" t="s">
        <v>2934</v>
      </c>
      <c r="J67" s="784"/>
      <c r="K67" s="784"/>
      <c r="L67" s="784"/>
      <c r="M67" s="784"/>
      <c r="N67" s="784"/>
      <c r="O67" s="784"/>
      <c r="P67" s="775" t="str">
        <f>cst_wskakunin_20setubi102_SETUBISEKKEI_KOUFU_NO</f>
        <v/>
      </c>
      <c r="Q67" s="775"/>
      <c r="R67" s="775"/>
      <c r="S67" s="775"/>
      <c r="T67" s="775"/>
      <c r="U67" s="775"/>
      <c r="V67" s="775"/>
      <c r="W67" s="775"/>
      <c r="X67" s="775"/>
      <c r="Y67" s="775"/>
      <c r="Z67" s="775"/>
      <c r="AA67" s="261" t="s">
        <v>2849</v>
      </c>
      <c r="AB67" s="259"/>
      <c r="AC67" s="259"/>
      <c r="AD67" s="259"/>
    </row>
    <row r="68" spans="2:30" s="258" customFormat="1" ht="15" customHeight="1">
      <c r="D68" s="258" t="s">
        <v>2929</v>
      </c>
      <c r="I68" s="259"/>
      <c r="J68" s="259"/>
      <c r="K68" s="259"/>
      <c r="L68" s="259"/>
      <c r="M68" s="259"/>
      <c r="N68" s="259"/>
      <c r="O68" s="259"/>
      <c r="P68" s="775" t="str">
        <f>cst_wskakunin_20setubi103_NAME</f>
        <v/>
      </c>
      <c r="Q68" s="775"/>
      <c r="R68" s="775"/>
      <c r="S68" s="775"/>
      <c r="T68" s="775"/>
      <c r="U68" s="775"/>
      <c r="V68" s="775"/>
      <c r="W68" s="775"/>
      <c r="X68" s="775"/>
      <c r="Y68" s="775"/>
      <c r="Z68" s="775"/>
      <c r="AA68" s="259"/>
      <c r="AB68" s="259"/>
      <c r="AC68" s="259"/>
      <c r="AD68" s="259"/>
    </row>
    <row r="69" spans="2:30" s="258" customFormat="1" ht="15" customHeight="1">
      <c r="D69" s="259" t="s">
        <v>2930</v>
      </c>
      <c r="I69" s="784" t="s">
        <v>2934</v>
      </c>
      <c r="J69" s="784"/>
      <c r="K69" s="784"/>
      <c r="L69" s="784"/>
      <c r="M69" s="784"/>
      <c r="N69" s="784"/>
      <c r="O69" s="784"/>
      <c r="P69" s="775" t="str">
        <f>cst_wskakunin_20setubi103_SETUBISEKKEI_KOUFU_NO</f>
        <v/>
      </c>
      <c r="Q69" s="775"/>
      <c r="R69" s="775"/>
      <c r="S69" s="775"/>
      <c r="T69" s="775"/>
      <c r="U69" s="775"/>
      <c r="V69" s="775"/>
      <c r="W69" s="775"/>
      <c r="X69" s="775"/>
      <c r="Y69" s="775"/>
      <c r="Z69" s="775"/>
      <c r="AA69" s="261" t="s">
        <v>2849</v>
      </c>
      <c r="AB69" s="259"/>
      <c r="AC69" s="259"/>
      <c r="AD69" s="259"/>
    </row>
    <row r="70" spans="2:30" s="258" customFormat="1" ht="15" customHeight="1">
      <c r="D70" s="258" t="s">
        <v>2935</v>
      </c>
      <c r="I70" s="259"/>
      <c r="J70" s="259"/>
      <c r="K70" s="259"/>
      <c r="L70" s="259"/>
      <c r="M70" s="259"/>
      <c r="N70" s="259"/>
      <c r="O70" s="259"/>
      <c r="P70" s="259"/>
      <c r="Q70" s="259"/>
      <c r="R70" s="259"/>
      <c r="S70" s="259"/>
      <c r="T70" s="259"/>
      <c r="U70" s="259"/>
      <c r="V70" s="259"/>
      <c r="W70" s="259"/>
      <c r="X70" s="259"/>
      <c r="Y70" s="259"/>
      <c r="Z70" s="259"/>
      <c r="AA70" s="259"/>
      <c r="AB70" s="259"/>
      <c r="AC70" s="259"/>
      <c r="AD70" s="259"/>
    </row>
    <row r="71" spans="2:30" s="258" customFormat="1" ht="15" customHeight="1">
      <c r="D71" s="258" t="s">
        <v>2929</v>
      </c>
      <c r="I71" s="259"/>
      <c r="J71" s="259"/>
      <c r="K71" s="259"/>
      <c r="L71" s="259"/>
      <c r="M71" s="259"/>
      <c r="N71" s="259"/>
      <c r="O71" s="259"/>
      <c r="P71" s="775" t="str">
        <f>cst_wskakunin_20setubi301_NAME</f>
        <v/>
      </c>
      <c r="Q71" s="775"/>
      <c r="R71" s="775"/>
      <c r="S71" s="775"/>
      <c r="T71" s="775"/>
      <c r="U71" s="775"/>
      <c r="V71" s="775"/>
      <c r="W71" s="775"/>
      <c r="X71" s="775"/>
      <c r="Y71" s="775"/>
      <c r="Z71" s="775"/>
      <c r="AA71" s="259"/>
      <c r="AB71" s="259"/>
      <c r="AC71" s="259"/>
      <c r="AD71" s="259"/>
    </row>
    <row r="72" spans="2:30" s="258" customFormat="1" ht="15" customHeight="1">
      <c r="D72" s="259" t="s">
        <v>2930</v>
      </c>
      <c r="I72" s="784" t="s">
        <v>2934</v>
      </c>
      <c r="J72" s="784"/>
      <c r="K72" s="784"/>
      <c r="L72" s="784"/>
      <c r="M72" s="784"/>
      <c r="N72" s="784"/>
      <c r="O72" s="784"/>
      <c r="P72" s="775" t="str">
        <f>cst_wskakunin_20setubi301_SETUBISEKKEI_KOUFU_NO</f>
        <v/>
      </c>
      <c r="Q72" s="775"/>
      <c r="R72" s="775"/>
      <c r="S72" s="775"/>
      <c r="T72" s="775"/>
      <c r="U72" s="775"/>
      <c r="V72" s="775"/>
      <c r="W72" s="775"/>
      <c r="X72" s="775"/>
      <c r="Y72" s="775"/>
      <c r="Z72" s="775"/>
      <c r="AA72" s="261" t="s">
        <v>2849</v>
      </c>
      <c r="AB72" s="259"/>
      <c r="AC72" s="259"/>
      <c r="AD72" s="259"/>
    </row>
    <row r="73" spans="2:30" s="258" customFormat="1" ht="15" customHeight="1">
      <c r="D73" s="258" t="s">
        <v>2929</v>
      </c>
      <c r="I73" s="259"/>
      <c r="J73" s="259"/>
      <c r="K73" s="259"/>
      <c r="L73" s="259"/>
      <c r="M73" s="259"/>
      <c r="N73" s="259"/>
      <c r="O73" s="259"/>
      <c r="P73" s="775" t="str">
        <f>cst_wskakunin_20setubi302_NAME</f>
        <v/>
      </c>
      <c r="Q73" s="775"/>
      <c r="R73" s="775"/>
      <c r="S73" s="775"/>
      <c r="T73" s="775"/>
      <c r="U73" s="775"/>
      <c r="V73" s="775"/>
      <c r="W73" s="775"/>
      <c r="X73" s="775"/>
      <c r="Y73" s="775"/>
      <c r="Z73" s="775"/>
      <c r="AA73" s="259"/>
      <c r="AB73" s="259"/>
      <c r="AC73" s="259"/>
      <c r="AD73" s="259"/>
    </row>
    <row r="74" spans="2:30" s="258" customFormat="1" ht="15" customHeight="1">
      <c r="D74" s="259" t="s">
        <v>2930</v>
      </c>
      <c r="I74" s="784" t="s">
        <v>2934</v>
      </c>
      <c r="J74" s="784"/>
      <c r="K74" s="784"/>
      <c r="L74" s="784"/>
      <c r="M74" s="784"/>
      <c r="N74" s="784"/>
      <c r="O74" s="784"/>
      <c r="P74" s="775" t="str">
        <f>cst_wskakunin_20setubi302_SETUBISEKKEI_KOUFU_NO</f>
        <v/>
      </c>
      <c r="Q74" s="775"/>
      <c r="R74" s="775"/>
      <c r="S74" s="775"/>
      <c r="T74" s="775"/>
      <c r="U74" s="775"/>
      <c r="V74" s="775"/>
      <c r="W74" s="775"/>
      <c r="X74" s="775"/>
      <c r="Y74" s="775"/>
      <c r="Z74" s="775"/>
      <c r="AA74" s="261" t="s">
        <v>2849</v>
      </c>
      <c r="AB74" s="259"/>
      <c r="AC74" s="259"/>
      <c r="AD74" s="259"/>
    </row>
    <row r="75" spans="2:30" s="258" customFormat="1" ht="15" customHeight="1">
      <c r="D75" s="258" t="s">
        <v>2929</v>
      </c>
      <c r="I75" s="259"/>
      <c r="J75" s="259"/>
      <c r="K75" s="259"/>
      <c r="L75" s="259"/>
      <c r="M75" s="259"/>
      <c r="N75" s="259"/>
      <c r="O75" s="259"/>
      <c r="P75" s="775" t="str">
        <f>cst_wskakunin_20setubi303_NAME</f>
        <v/>
      </c>
      <c r="Q75" s="775"/>
      <c r="R75" s="775"/>
      <c r="S75" s="775"/>
      <c r="T75" s="775"/>
      <c r="U75" s="775"/>
      <c r="V75" s="775"/>
      <c r="W75" s="775"/>
      <c r="X75" s="775"/>
      <c r="Y75" s="775"/>
      <c r="Z75" s="775"/>
      <c r="AA75" s="259"/>
      <c r="AB75" s="259"/>
      <c r="AC75" s="259"/>
      <c r="AD75" s="259"/>
    </row>
    <row r="76" spans="2:30" s="258" customFormat="1" ht="15" customHeight="1">
      <c r="B76" s="263"/>
      <c r="C76" s="263"/>
      <c r="D76" s="264" t="s">
        <v>2930</v>
      </c>
      <c r="E76" s="263"/>
      <c r="F76" s="263"/>
      <c r="G76" s="263"/>
      <c r="H76" s="263"/>
      <c r="I76" s="785" t="s">
        <v>2934</v>
      </c>
      <c r="J76" s="785"/>
      <c r="K76" s="785"/>
      <c r="L76" s="785"/>
      <c r="M76" s="785"/>
      <c r="N76" s="785"/>
      <c r="O76" s="785"/>
      <c r="P76" s="777" t="str">
        <f>cst_wskakunin_20setubi303_SETUBISEKKEI_KOUFU_NO</f>
        <v/>
      </c>
      <c r="Q76" s="777"/>
      <c r="R76" s="777"/>
      <c r="S76" s="777"/>
      <c r="T76" s="777"/>
      <c r="U76" s="777"/>
      <c r="V76" s="777"/>
      <c r="W76" s="777"/>
      <c r="X76" s="777"/>
      <c r="Y76" s="777"/>
      <c r="Z76" s="777"/>
      <c r="AA76" s="266" t="s">
        <v>2849</v>
      </c>
      <c r="AB76" s="264"/>
      <c r="AC76" s="264"/>
      <c r="AD76" s="264"/>
    </row>
    <row r="77" spans="2:30" ht="15" customHeight="1">
      <c r="C77" s="254" t="s">
        <v>1058</v>
      </c>
    </row>
    <row r="78" spans="2:30" ht="15" customHeight="1">
      <c r="C78" s="254" t="s">
        <v>2936</v>
      </c>
    </row>
    <row r="79" spans="2:30" s="258" customFormat="1" ht="15" customHeight="1">
      <c r="D79" s="259" t="s">
        <v>2929</v>
      </c>
      <c r="F79" s="259"/>
      <c r="G79" s="259"/>
      <c r="H79" s="259"/>
      <c r="I79" s="775" t="str">
        <f>cst_wskakunin_iken1_NAME</f>
        <v/>
      </c>
      <c r="J79" s="775"/>
      <c r="K79" s="775"/>
      <c r="L79" s="775"/>
      <c r="M79" s="775"/>
      <c r="N79" s="775"/>
      <c r="O79" s="775"/>
      <c r="P79" s="775"/>
      <c r="Q79" s="775"/>
      <c r="R79" s="775"/>
      <c r="S79" s="775"/>
      <c r="T79" s="775"/>
      <c r="U79" s="775"/>
      <c r="V79" s="775"/>
      <c r="W79" s="775"/>
      <c r="X79" s="775"/>
      <c r="Y79" s="775"/>
      <c r="Z79" s="775"/>
      <c r="AA79" s="775"/>
      <c r="AB79" s="775"/>
      <c r="AC79" s="775"/>
      <c r="AD79" s="775"/>
    </row>
    <row r="80" spans="2:30" s="258" customFormat="1" ht="15" customHeight="1">
      <c r="D80" s="259" t="s">
        <v>2937</v>
      </c>
      <c r="E80" s="259"/>
      <c r="F80" s="259"/>
      <c r="G80" s="259"/>
      <c r="H80" s="259"/>
      <c r="I80" s="775" t="str">
        <f>cst_wskakunin_iken1_JIMU_NAME</f>
        <v/>
      </c>
      <c r="J80" s="775"/>
      <c r="K80" s="775"/>
      <c r="L80" s="775"/>
      <c r="M80" s="775"/>
      <c r="N80" s="775"/>
      <c r="O80" s="775"/>
      <c r="P80" s="775"/>
      <c r="Q80" s="775"/>
      <c r="R80" s="775"/>
      <c r="S80" s="775"/>
      <c r="T80" s="775"/>
      <c r="U80" s="775"/>
      <c r="V80" s="775"/>
      <c r="W80" s="775"/>
      <c r="X80" s="775"/>
      <c r="Y80" s="775"/>
      <c r="Z80" s="775"/>
      <c r="AA80" s="775"/>
      <c r="AB80" s="775"/>
      <c r="AC80" s="775"/>
      <c r="AD80" s="775"/>
    </row>
    <row r="81" spans="2:30" s="258" customFormat="1" ht="15" customHeight="1">
      <c r="D81" s="259" t="s">
        <v>1065</v>
      </c>
      <c r="I81" s="775" t="str">
        <f>cst_wskakunin_iken1_ZIP</f>
        <v/>
      </c>
      <c r="J81" s="775"/>
      <c r="K81" s="775"/>
      <c r="L81" s="775"/>
      <c r="M81" s="775"/>
      <c r="N81" s="775"/>
      <c r="O81" s="775"/>
      <c r="P81" s="775"/>
      <c r="Q81" s="775"/>
      <c r="R81" s="775"/>
      <c r="S81" s="775"/>
      <c r="T81" s="775"/>
      <c r="U81" s="775"/>
      <c r="V81" s="775"/>
      <c r="W81" s="775"/>
      <c r="X81" s="775"/>
      <c r="Y81" s="775"/>
      <c r="Z81" s="775"/>
      <c r="AA81" s="775"/>
      <c r="AB81" s="775"/>
      <c r="AC81" s="775"/>
      <c r="AD81" s="775"/>
    </row>
    <row r="82" spans="2:30" s="258" customFormat="1" ht="15" customHeight="1">
      <c r="D82" s="258" t="s">
        <v>2938</v>
      </c>
      <c r="I82" s="775" t="str">
        <f>cst_wskakunin_iken1__address</f>
        <v/>
      </c>
      <c r="J82" s="775"/>
      <c r="K82" s="775"/>
      <c r="L82" s="775"/>
      <c r="M82" s="775"/>
      <c r="N82" s="775"/>
      <c r="O82" s="775"/>
      <c r="P82" s="775"/>
      <c r="Q82" s="775"/>
      <c r="R82" s="775"/>
      <c r="S82" s="775"/>
      <c r="T82" s="775"/>
      <c r="U82" s="775"/>
      <c r="V82" s="775"/>
      <c r="W82" s="775"/>
      <c r="X82" s="775"/>
      <c r="Y82" s="775"/>
      <c r="Z82" s="775"/>
      <c r="AA82" s="775"/>
      <c r="AB82" s="775"/>
      <c r="AC82" s="775"/>
      <c r="AD82" s="775"/>
    </row>
    <row r="83" spans="2:30" s="258" customFormat="1" ht="15" customHeight="1">
      <c r="D83" s="259" t="s">
        <v>1071</v>
      </c>
      <c r="F83" s="259"/>
      <c r="G83" s="259"/>
      <c r="H83" s="259"/>
      <c r="I83" s="775" t="str">
        <f>cst_wskakunin_iken1_TEL</f>
        <v/>
      </c>
      <c r="J83" s="775"/>
      <c r="K83" s="775"/>
      <c r="L83" s="775"/>
      <c r="M83" s="775"/>
      <c r="N83" s="775"/>
      <c r="O83" s="775"/>
      <c r="P83" s="775"/>
      <c r="Q83" s="775"/>
      <c r="R83" s="775"/>
      <c r="S83" s="775"/>
      <c r="T83" s="775"/>
      <c r="U83" s="775"/>
      <c r="V83" s="775"/>
      <c r="W83" s="775"/>
      <c r="X83" s="775"/>
      <c r="Y83" s="775"/>
      <c r="Z83" s="775"/>
      <c r="AA83" s="775"/>
      <c r="AB83" s="775"/>
      <c r="AC83" s="775"/>
      <c r="AD83" s="775"/>
    </row>
    <row r="84" spans="2:30" s="258" customFormat="1" ht="15" customHeight="1">
      <c r="D84" s="259" t="s">
        <v>1074</v>
      </c>
      <c r="F84" s="259"/>
      <c r="G84" s="259"/>
      <c r="H84" s="259"/>
      <c r="I84" s="775" t="str">
        <f>cst_wskakunin_iken1_IKEN_NO</f>
        <v/>
      </c>
      <c r="J84" s="775"/>
      <c r="K84" s="775"/>
      <c r="L84" s="775"/>
      <c r="M84" s="775"/>
      <c r="N84" s="775"/>
      <c r="O84" s="775"/>
      <c r="P84" s="775"/>
      <c r="Q84" s="775"/>
      <c r="R84" s="775"/>
      <c r="S84" s="775"/>
      <c r="T84" s="775"/>
      <c r="U84" s="775"/>
      <c r="V84" s="775"/>
      <c r="W84" s="775"/>
      <c r="X84" s="775"/>
      <c r="Y84" s="775"/>
      <c r="Z84" s="775"/>
      <c r="AA84" s="775"/>
      <c r="AB84" s="775"/>
      <c r="AC84" s="775"/>
      <c r="AD84" s="775"/>
    </row>
    <row r="85" spans="2:30" ht="15" customHeight="1">
      <c r="B85" s="267"/>
      <c r="C85" s="267"/>
      <c r="D85" s="267" t="s">
        <v>1077</v>
      </c>
      <c r="E85" s="267"/>
      <c r="F85" s="267"/>
      <c r="G85" s="267"/>
      <c r="H85" s="267"/>
      <c r="I85" s="267"/>
      <c r="J85" s="267"/>
      <c r="K85" s="786" t="str">
        <f>cst_wskakunin_iken1_DOC</f>
        <v/>
      </c>
      <c r="L85" s="786"/>
      <c r="M85" s="786"/>
      <c r="N85" s="786"/>
      <c r="O85" s="786"/>
      <c r="P85" s="786"/>
      <c r="Q85" s="786"/>
      <c r="R85" s="786"/>
      <c r="S85" s="786"/>
      <c r="T85" s="786"/>
      <c r="U85" s="786"/>
      <c r="V85" s="786"/>
      <c r="W85" s="786"/>
      <c r="X85" s="786"/>
      <c r="Y85" s="786"/>
      <c r="Z85" s="786"/>
      <c r="AA85" s="786"/>
      <c r="AB85" s="786"/>
      <c r="AC85" s="786"/>
      <c r="AD85" s="786"/>
    </row>
    <row r="86" spans="2:30" ht="15" customHeight="1">
      <c r="C86" s="254" t="s">
        <v>2939</v>
      </c>
    </row>
    <row r="87" spans="2:30" s="258" customFormat="1" ht="15" customHeight="1">
      <c r="D87" s="259" t="s">
        <v>2929</v>
      </c>
      <c r="F87" s="259"/>
      <c r="G87" s="259"/>
      <c r="H87" s="259"/>
      <c r="I87" s="775" t="str">
        <f>cst_wskakunin_iken2_NAME</f>
        <v/>
      </c>
      <c r="J87" s="775"/>
      <c r="K87" s="775"/>
      <c r="L87" s="775"/>
      <c r="M87" s="775"/>
      <c r="N87" s="775"/>
      <c r="O87" s="775"/>
      <c r="P87" s="775"/>
      <c r="Q87" s="775"/>
      <c r="R87" s="775"/>
      <c r="S87" s="775"/>
      <c r="T87" s="775"/>
      <c r="U87" s="775"/>
      <c r="V87" s="775"/>
      <c r="W87" s="775"/>
      <c r="X87" s="775"/>
      <c r="Y87" s="775"/>
      <c r="Z87" s="775"/>
      <c r="AA87" s="775"/>
      <c r="AB87" s="775"/>
      <c r="AC87" s="775"/>
      <c r="AD87" s="775"/>
    </row>
    <row r="88" spans="2:30" s="258" customFormat="1" ht="15" customHeight="1">
      <c r="D88" s="259" t="s">
        <v>2937</v>
      </c>
      <c r="E88" s="259"/>
      <c r="F88" s="259"/>
      <c r="G88" s="259"/>
      <c r="H88" s="259"/>
      <c r="I88" s="775" t="str">
        <f>cst_wskakunin_iken2_JIMU_NAME</f>
        <v/>
      </c>
      <c r="J88" s="775"/>
      <c r="K88" s="775"/>
      <c r="L88" s="775"/>
      <c r="M88" s="775"/>
      <c r="N88" s="775"/>
      <c r="O88" s="775"/>
      <c r="P88" s="775"/>
      <c r="Q88" s="775"/>
      <c r="R88" s="775"/>
      <c r="S88" s="775"/>
      <c r="T88" s="775"/>
      <c r="U88" s="775"/>
      <c r="V88" s="775"/>
      <c r="W88" s="775"/>
      <c r="X88" s="775"/>
      <c r="Y88" s="775"/>
      <c r="Z88" s="775"/>
      <c r="AA88" s="775"/>
      <c r="AB88" s="775"/>
      <c r="AC88" s="775"/>
      <c r="AD88" s="775"/>
    </row>
    <row r="89" spans="2:30" s="258" customFormat="1" ht="15" customHeight="1">
      <c r="D89" s="259" t="s">
        <v>1065</v>
      </c>
      <c r="I89" s="775" t="str">
        <f>cst_wskakunin_iken2_ZIP</f>
        <v/>
      </c>
      <c r="J89" s="775"/>
      <c r="K89" s="775"/>
      <c r="L89" s="775"/>
      <c r="M89" s="775"/>
      <c r="N89" s="775"/>
      <c r="O89" s="775"/>
      <c r="P89" s="775"/>
      <c r="Q89" s="775"/>
      <c r="R89" s="775"/>
      <c r="S89" s="775"/>
      <c r="T89" s="775"/>
      <c r="U89" s="775"/>
      <c r="V89" s="775"/>
      <c r="W89" s="775"/>
      <c r="X89" s="775"/>
      <c r="Y89" s="775"/>
      <c r="Z89" s="775"/>
      <c r="AA89" s="775"/>
      <c r="AB89" s="775"/>
      <c r="AC89" s="775"/>
      <c r="AD89" s="775"/>
    </row>
    <row r="90" spans="2:30" s="258" customFormat="1" ht="15" customHeight="1">
      <c r="D90" s="258" t="s">
        <v>2938</v>
      </c>
      <c r="I90" s="775" t="str">
        <f>cst_wskakunin_iken2__address</f>
        <v/>
      </c>
      <c r="J90" s="775"/>
      <c r="K90" s="775"/>
      <c r="L90" s="775"/>
      <c r="M90" s="775"/>
      <c r="N90" s="775"/>
      <c r="O90" s="775"/>
      <c r="P90" s="775"/>
      <c r="Q90" s="775"/>
      <c r="R90" s="775"/>
      <c r="S90" s="775"/>
      <c r="T90" s="775"/>
      <c r="U90" s="775"/>
      <c r="V90" s="775"/>
      <c r="W90" s="775"/>
      <c r="X90" s="775"/>
      <c r="Y90" s="775"/>
      <c r="Z90" s="775"/>
      <c r="AA90" s="775"/>
      <c r="AB90" s="775"/>
      <c r="AC90" s="775"/>
      <c r="AD90" s="775"/>
    </row>
    <row r="91" spans="2:30" s="258" customFormat="1" ht="15" customHeight="1">
      <c r="D91" s="259" t="s">
        <v>1071</v>
      </c>
      <c r="F91" s="259"/>
      <c r="G91" s="259"/>
      <c r="H91" s="259"/>
      <c r="I91" s="775" t="str">
        <f>cst_wskakunin_iken2_TEL</f>
        <v/>
      </c>
      <c r="J91" s="775"/>
      <c r="K91" s="775"/>
      <c r="L91" s="775"/>
      <c r="M91" s="775"/>
      <c r="N91" s="775"/>
      <c r="O91" s="775"/>
      <c r="P91" s="775"/>
      <c r="Q91" s="775"/>
      <c r="R91" s="775"/>
      <c r="S91" s="775"/>
      <c r="T91" s="775"/>
      <c r="U91" s="775"/>
      <c r="V91" s="775"/>
      <c r="W91" s="775"/>
      <c r="X91" s="775"/>
      <c r="Y91" s="775"/>
      <c r="Z91" s="775"/>
      <c r="AA91" s="775"/>
      <c r="AB91" s="775"/>
      <c r="AC91" s="775"/>
      <c r="AD91" s="775"/>
    </row>
    <row r="92" spans="2:30" s="258" customFormat="1" ht="15" customHeight="1">
      <c r="D92" s="259" t="s">
        <v>1074</v>
      </c>
      <c r="F92" s="259"/>
      <c r="G92" s="259"/>
      <c r="H92" s="259"/>
      <c r="I92" s="775" t="str">
        <f>cst_wskakunin_iken2_IKEN_NO</f>
        <v/>
      </c>
      <c r="J92" s="775"/>
      <c r="K92" s="775"/>
      <c r="L92" s="775"/>
      <c r="M92" s="775"/>
      <c r="N92" s="775"/>
      <c r="O92" s="775"/>
      <c r="P92" s="775"/>
      <c r="Q92" s="775"/>
      <c r="R92" s="775"/>
      <c r="S92" s="775"/>
      <c r="T92" s="775"/>
      <c r="U92" s="775"/>
      <c r="V92" s="775"/>
      <c r="W92" s="775"/>
      <c r="X92" s="775"/>
      <c r="Y92" s="775"/>
      <c r="Z92" s="775"/>
      <c r="AA92" s="775"/>
      <c r="AB92" s="775"/>
      <c r="AC92" s="775"/>
      <c r="AD92" s="775"/>
    </row>
    <row r="93" spans="2:30" ht="15" customHeight="1">
      <c r="B93" s="267"/>
      <c r="C93" s="267"/>
      <c r="D93" s="267" t="s">
        <v>1077</v>
      </c>
      <c r="E93" s="267"/>
      <c r="F93" s="267"/>
      <c r="G93" s="267"/>
      <c r="H93" s="267"/>
      <c r="I93" s="267"/>
      <c r="J93" s="267"/>
      <c r="K93" s="786" t="str">
        <f>cst_wskakunin_iken2_DOC</f>
        <v/>
      </c>
      <c r="L93" s="786"/>
      <c r="M93" s="786"/>
      <c r="N93" s="786"/>
      <c r="O93" s="786"/>
      <c r="P93" s="786"/>
      <c r="Q93" s="786"/>
      <c r="R93" s="786"/>
      <c r="S93" s="786"/>
      <c r="T93" s="786"/>
      <c r="U93" s="786"/>
      <c r="V93" s="786"/>
      <c r="W93" s="786"/>
      <c r="X93" s="786"/>
      <c r="Y93" s="786"/>
      <c r="Z93" s="786"/>
      <c r="AA93" s="786"/>
      <c r="AB93" s="786"/>
      <c r="AC93" s="786"/>
      <c r="AD93" s="786"/>
    </row>
    <row r="94" spans="2:30" s="258" customFormat="1" ht="15" customHeight="1">
      <c r="D94" s="259" t="s">
        <v>2929</v>
      </c>
      <c r="F94" s="259"/>
      <c r="G94" s="259"/>
      <c r="H94" s="259"/>
      <c r="I94" s="775" t="str">
        <f>cst_wskakunin_iken3_NAME</f>
        <v/>
      </c>
      <c r="J94" s="775"/>
      <c r="K94" s="775"/>
      <c r="L94" s="775"/>
      <c r="M94" s="775"/>
      <c r="N94" s="775"/>
      <c r="O94" s="775"/>
      <c r="P94" s="775"/>
      <c r="Q94" s="775"/>
      <c r="R94" s="775"/>
      <c r="S94" s="775"/>
      <c r="T94" s="775"/>
      <c r="U94" s="775"/>
      <c r="V94" s="775"/>
      <c r="W94" s="775"/>
      <c r="X94" s="775"/>
      <c r="Y94" s="775"/>
      <c r="Z94" s="775"/>
      <c r="AA94" s="775"/>
      <c r="AB94" s="775"/>
      <c r="AC94" s="775"/>
      <c r="AD94" s="775"/>
    </row>
    <row r="95" spans="2:30" s="258" customFormat="1" ht="15" customHeight="1">
      <c r="D95" s="259" t="s">
        <v>2937</v>
      </c>
      <c r="E95" s="259"/>
      <c r="F95" s="259"/>
      <c r="G95" s="259"/>
      <c r="H95" s="259"/>
      <c r="I95" s="775" t="str">
        <f>cst_wskakunin_iken3_JIMU_NAME</f>
        <v/>
      </c>
      <c r="J95" s="775"/>
      <c r="K95" s="775"/>
      <c r="L95" s="775"/>
      <c r="M95" s="775"/>
      <c r="N95" s="775"/>
      <c r="O95" s="775"/>
      <c r="P95" s="775"/>
      <c r="Q95" s="775"/>
      <c r="R95" s="775"/>
      <c r="S95" s="775"/>
      <c r="T95" s="775"/>
      <c r="U95" s="775"/>
      <c r="V95" s="775"/>
      <c r="W95" s="775"/>
      <c r="X95" s="775"/>
      <c r="Y95" s="775"/>
      <c r="Z95" s="775"/>
      <c r="AA95" s="775"/>
      <c r="AB95" s="775"/>
      <c r="AC95" s="775"/>
      <c r="AD95" s="775"/>
    </row>
    <row r="96" spans="2:30" s="258" customFormat="1" ht="15" customHeight="1">
      <c r="D96" s="259" t="s">
        <v>1065</v>
      </c>
      <c r="I96" s="775" t="str">
        <f>cst_wskakunin_iken3_ZIP</f>
        <v/>
      </c>
      <c r="J96" s="775"/>
      <c r="K96" s="775"/>
      <c r="L96" s="775"/>
      <c r="M96" s="775"/>
      <c r="N96" s="775"/>
      <c r="O96" s="775"/>
      <c r="P96" s="775"/>
      <c r="Q96" s="775"/>
      <c r="R96" s="775"/>
      <c r="S96" s="775"/>
      <c r="T96" s="775"/>
      <c r="U96" s="775"/>
      <c r="V96" s="775"/>
      <c r="W96" s="775"/>
      <c r="X96" s="775"/>
      <c r="Y96" s="775"/>
      <c r="Z96" s="775"/>
      <c r="AA96" s="775"/>
      <c r="AB96" s="775"/>
      <c r="AC96" s="775"/>
      <c r="AD96" s="775"/>
    </row>
    <row r="97" spans="2:30" s="258" customFormat="1" ht="15" customHeight="1">
      <c r="D97" s="258" t="s">
        <v>2938</v>
      </c>
      <c r="I97" s="775" t="str">
        <f>cst_wskakunin_iken3__address</f>
        <v/>
      </c>
      <c r="J97" s="775"/>
      <c r="K97" s="775"/>
      <c r="L97" s="775"/>
      <c r="M97" s="775"/>
      <c r="N97" s="775"/>
      <c r="O97" s="775"/>
      <c r="P97" s="775"/>
      <c r="Q97" s="775"/>
      <c r="R97" s="775"/>
      <c r="S97" s="775"/>
      <c r="T97" s="775"/>
      <c r="U97" s="775"/>
      <c r="V97" s="775"/>
      <c r="W97" s="775"/>
      <c r="X97" s="775"/>
      <c r="Y97" s="775"/>
      <c r="Z97" s="775"/>
      <c r="AA97" s="775"/>
      <c r="AB97" s="775"/>
      <c r="AC97" s="775"/>
      <c r="AD97" s="775"/>
    </row>
    <row r="98" spans="2:30" s="258" customFormat="1" ht="15" customHeight="1">
      <c r="D98" s="259" t="s">
        <v>1071</v>
      </c>
      <c r="F98" s="259"/>
      <c r="G98" s="259"/>
      <c r="H98" s="259"/>
      <c r="I98" s="775" t="str">
        <f>cst_wskakunin_iken3_TEL</f>
        <v/>
      </c>
      <c r="J98" s="775"/>
      <c r="K98" s="775"/>
      <c r="L98" s="775"/>
      <c r="M98" s="775"/>
      <c r="N98" s="775"/>
      <c r="O98" s="775"/>
      <c r="P98" s="775"/>
      <c r="Q98" s="775"/>
      <c r="R98" s="775"/>
      <c r="S98" s="775"/>
      <c r="T98" s="775"/>
      <c r="U98" s="775"/>
      <c r="V98" s="775"/>
      <c r="W98" s="775"/>
      <c r="X98" s="775"/>
      <c r="Y98" s="775"/>
      <c r="Z98" s="775"/>
      <c r="AA98" s="775"/>
      <c r="AB98" s="775"/>
      <c r="AC98" s="775"/>
      <c r="AD98" s="775"/>
    </row>
    <row r="99" spans="2:30" s="258" customFormat="1" ht="15" customHeight="1">
      <c r="D99" s="259" t="s">
        <v>1074</v>
      </c>
      <c r="F99" s="259"/>
      <c r="G99" s="259"/>
      <c r="H99" s="259"/>
      <c r="I99" s="775" t="str">
        <f>cst_wskakunin_iken3_IKEN_NO</f>
        <v/>
      </c>
      <c r="J99" s="775"/>
      <c r="K99" s="775"/>
      <c r="L99" s="775"/>
      <c r="M99" s="775"/>
      <c r="N99" s="775"/>
      <c r="O99" s="775"/>
      <c r="P99" s="775"/>
      <c r="Q99" s="775"/>
      <c r="R99" s="775"/>
      <c r="S99" s="775"/>
      <c r="T99" s="775"/>
      <c r="U99" s="775"/>
      <c r="V99" s="775"/>
      <c r="W99" s="775"/>
      <c r="X99" s="775"/>
      <c r="Y99" s="775"/>
      <c r="Z99" s="775"/>
      <c r="AA99" s="775"/>
      <c r="AB99" s="775"/>
      <c r="AC99" s="775"/>
      <c r="AD99" s="775"/>
    </row>
    <row r="100" spans="2:30" ht="15" customHeight="1">
      <c r="B100" s="267"/>
      <c r="C100" s="267"/>
      <c r="D100" s="267" t="s">
        <v>1077</v>
      </c>
      <c r="E100" s="267"/>
      <c r="F100" s="267"/>
      <c r="G100" s="267"/>
      <c r="H100" s="267"/>
      <c r="I100" s="267"/>
      <c r="J100" s="267"/>
      <c r="K100" s="786" t="str">
        <f>cst_wskakunin_iken3_DOC</f>
        <v/>
      </c>
      <c r="L100" s="786"/>
      <c r="M100" s="786"/>
      <c r="N100" s="786"/>
      <c r="O100" s="786"/>
      <c r="P100" s="786"/>
      <c r="Q100" s="786"/>
      <c r="R100" s="786"/>
      <c r="S100" s="786"/>
      <c r="T100" s="786"/>
      <c r="U100" s="786"/>
      <c r="V100" s="786"/>
      <c r="W100" s="786"/>
      <c r="X100" s="786"/>
      <c r="Y100" s="786"/>
      <c r="Z100" s="786"/>
      <c r="AA100" s="786"/>
      <c r="AB100" s="786"/>
      <c r="AC100" s="786"/>
      <c r="AD100" s="786"/>
    </row>
    <row r="101" spans="2:30" s="258" customFormat="1" ht="15" customHeight="1">
      <c r="D101" s="259" t="s">
        <v>2929</v>
      </c>
      <c r="F101" s="259"/>
      <c r="G101" s="259"/>
      <c r="H101" s="259"/>
      <c r="I101" s="775" t="str">
        <f>cst_wskakunin_iken4_NAME</f>
        <v/>
      </c>
      <c r="J101" s="775"/>
      <c r="K101" s="775"/>
      <c r="L101" s="775"/>
      <c r="M101" s="775"/>
      <c r="N101" s="775"/>
      <c r="O101" s="775"/>
      <c r="P101" s="775"/>
      <c r="Q101" s="775"/>
      <c r="R101" s="775"/>
      <c r="S101" s="775"/>
      <c r="T101" s="775"/>
      <c r="U101" s="775"/>
      <c r="V101" s="775"/>
      <c r="W101" s="775"/>
      <c r="X101" s="775"/>
      <c r="Y101" s="775"/>
      <c r="Z101" s="775"/>
      <c r="AA101" s="775"/>
      <c r="AB101" s="775"/>
      <c r="AC101" s="775"/>
      <c r="AD101" s="775"/>
    </row>
    <row r="102" spans="2:30" s="258" customFormat="1" ht="15" customHeight="1">
      <c r="D102" s="259" t="s">
        <v>2937</v>
      </c>
      <c r="E102" s="259"/>
      <c r="F102" s="259"/>
      <c r="G102" s="259"/>
      <c r="H102" s="259"/>
      <c r="I102" s="775" t="str">
        <f>cst_wskakunin_iken4_JIMU_NAME</f>
        <v/>
      </c>
      <c r="J102" s="775"/>
      <c r="K102" s="775"/>
      <c r="L102" s="775"/>
      <c r="M102" s="775"/>
      <c r="N102" s="775"/>
      <c r="O102" s="775"/>
      <c r="P102" s="775"/>
      <c r="Q102" s="775"/>
      <c r="R102" s="775"/>
      <c r="S102" s="775"/>
      <c r="T102" s="775"/>
      <c r="U102" s="775"/>
      <c r="V102" s="775"/>
      <c r="W102" s="775"/>
      <c r="X102" s="775"/>
      <c r="Y102" s="775"/>
      <c r="Z102" s="775"/>
      <c r="AA102" s="775"/>
      <c r="AB102" s="775"/>
      <c r="AC102" s="775"/>
      <c r="AD102" s="775"/>
    </row>
    <row r="103" spans="2:30" s="258" customFormat="1" ht="15" customHeight="1">
      <c r="D103" s="259" t="s">
        <v>1065</v>
      </c>
      <c r="I103" s="775" t="str">
        <f>cst_wskakunin_iken4_ZIP</f>
        <v/>
      </c>
      <c r="J103" s="775"/>
      <c r="K103" s="775"/>
      <c r="L103" s="775"/>
      <c r="M103" s="775"/>
      <c r="N103" s="775"/>
      <c r="O103" s="775"/>
      <c r="P103" s="775"/>
      <c r="Q103" s="775"/>
      <c r="R103" s="775"/>
      <c r="S103" s="775"/>
      <c r="T103" s="775"/>
      <c r="U103" s="775"/>
      <c r="V103" s="775"/>
      <c r="W103" s="775"/>
      <c r="X103" s="775"/>
      <c r="Y103" s="775"/>
      <c r="Z103" s="775"/>
      <c r="AA103" s="775"/>
      <c r="AB103" s="775"/>
      <c r="AC103" s="775"/>
      <c r="AD103" s="775"/>
    </row>
    <row r="104" spans="2:30" s="258" customFormat="1" ht="15" customHeight="1">
      <c r="D104" s="258" t="s">
        <v>2938</v>
      </c>
      <c r="I104" s="775" t="str">
        <f>cst_wskakunin_iken4__address</f>
        <v/>
      </c>
      <c r="J104" s="775"/>
      <c r="K104" s="775"/>
      <c r="L104" s="775"/>
      <c r="M104" s="775"/>
      <c r="N104" s="775"/>
      <c r="O104" s="775"/>
      <c r="P104" s="775"/>
      <c r="Q104" s="775"/>
      <c r="R104" s="775"/>
      <c r="S104" s="775"/>
      <c r="T104" s="775"/>
      <c r="U104" s="775"/>
      <c r="V104" s="775"/>
      <c r="W104" s="775"/>
      <c r="X104" s="775"/>
      <c r="Y104" s="775"/>
      <c r="Z104" s="775"/>
      <c r="AA104" s="775"/>
      <c r="AB104" s="775"/>
      <c r="AC104" s="775"/>
      <c r="AD104" s="775"/>
    </row>
    <row r="105" spans="2:30" s="258" customFormat="1" ht="15" customHeight="1">
      <c r="D105" s="259" t="s">
        <v>1071</v>
      </c>
      <c r="F105" s="259"/>
      <c r="G105" s="259"/>
      <c r="H105" s="259"/>
      <c r="I105" s="775" t="str">
        <f>cst_wskakunin_iken4_TEL</f>
        <v/>
      </c>
      <c r="J105" s="775"/>
      <c r="K105" s="775"/>
      <c r="L105" s="775"/>
      <c r="M105" s="775"/>
      <c r="N105" s="775"/>
      <c r="O105" s="775"/>
      <c r="P105" s="775"/>
      <c r="Q105" s="775"/>
      <c r="R105" s="775"/>
      <c r="S105" s="775"/>
      <c r="T105" s="775"/>
      <c r="U105" s="775"/>
      <c r="V105" s="775"/>
      <c r="W105" s="775"/>
      <c r="X105" s="775"/>
      <c r="Y105" s="775"/>
      <c r="Z105" s="775"/>
      <c r="AA105" s="775"/>
      <c r="AB105" s="775"/>
      <c r="AC105" s="775"/>
      <c r="AD105" s="775"/>
    </row>
    <row r="106" spans="2:30" s="258" customFormat="1" ht="15" customHeight="1">
      <c r="D106" s="259" t="s">
        <v>1074</v>
      </c>
      <c r="F106" s="259"/>
      <c r="G106" s="259"/>
      <c r="H106" s="259"/>
      <c r="I106" s="775" t="str">
        <f>cst_wskakunin_iken4_IKEN_NO</f>
        <v/>
      </c>
      <c r="J106" s="775"/>
      <c r="K106" s="775"/>
      <c r="L106" s="775"/>
      <c r="M106" s="775"/>
      <c r="N106" s="775"/>
      <c r="O106" s="775"/>
      <c r="P106" s="775"/>
      <c r="Q106" s="775"/>
      <c r="R106" s="775"/>
      <c r="S106" s="775"/>
      <c r="T106" s="775"/>
      <c r="U106" s="775"/>
      <c r="V106" s="775"/>
      <c r="W106" s="775"/>
      <c r="X106" s="775"/>
      <c r="Y106" s="775"/>
      <c r="Z106" s="775"/>
      <c r="AA106" s="775"/>
      <c r="AB106" s="775"/>
      <c r="AC106" s="775"/>
      <c r="AD106" s="775"/>
    </row>
    <row r="107" spans="2:30" ht="15" customHeight="1">
      <c r="B107" s="260"/>
      <c r="C107" s="260"/>
      <c r="D107" s="267" t="s">
        <v>1077</v>
      </c>
      <c r="E107" s="267"/>
      <c r="F107" s="267"/>
      <c r="G107" s="267"/>
      <c r="H107" s="267"/>
      <c r="I107" s="267"/>
      <c r="J107" s="267"/>
      <c r="K107" s="786" t="str">
        <f>cst_wskakunin_iken4_DOC</f>
        <v/>
      </c>
      <c r="L107" s="786"/>
      <c r="M107" s="786"/>
      <c r="N107" s="786"/>
      <c r="O107" s="786"/>
      <c r="P107" s="786"/>
      <c r="Q107" s="786"/>
      <c r="R107" s="786"/>
      <c r="S107" s="786"/>
      <c r="T107" s="786"/>
      <c r="U107" s="786"/>
      <c r="V107" s="786"/>
      <c r="W107" s="786"/>
      <c r="X107" s="786"/>
      <c r="Y107" s="786"/>
      <c r="Z107" s="786"/>
      <c r="AA107" s="786"/>
      <c r="AB107" s="786"/>
      <c r="AC107" s="786"/>
      <c r="AD107" s="786"/>
    </row>
    <row r="108" spans="2:30" ht="15" customHeight="1">
      <c r="B108" s="732"/>
      <c r="C108" s="732" t="s">
        <v>2940</v>
      </c>
      <c r="D108" s="732"/>
      <c r="E108" s="732"/>
      <c r="F108" s="732"/>
      <c r="G108" s="732"/>
      <c r="H108" s="732"/>
      <c r="I108" s="732"/>
      <c r="J108" s="732"/>
      <c r="K108" s="732"/>
      <c r="L108" s="732"/>
      <c r="M108" s="732"/>
      <c r="N108" s="732"/>
      <c r="O108" s="732"/>
      <c r="P108" s="732"/>
      <c r="Q108" s="732"/>
      <c r="R108" s="732"/>
      <c r="S108" s="732"/>
      <c r="T108" s="732"/>
      <c r="U108" s="732"/>
      <c r="V108" s="732"/>
      <c r="W108" s="732"/>
      <c r="X108" s="732"/>
      <c r="Y108" s="732"/>
      <c r="Z108" s="732"/>
      <c r="AA108" s="732"/>
      <c r="AB108" s="732"/>
      <c r="AC108" s="732"/>
      <c r="AD108" s="732"/>
    </row>
    <row r="109" spans="2:30" ht="15" customHeight="1">
      <c r="C109" s="254" t="s">
        <v>2941</v>
      </c>
    </row>
    <row r="110" spans="2:30" s="258" customFormat="1" ht="15" customHeight="1">
      <c r="D110" s="259" t="s">
        <v>2911</v>
      </c>
      <c r="F110" s="259"/>
      <c r="G110" s="259"/>
      <c r="H110" s="259"/>
      <c r="I110" s="261" t="s">
        <v>2912</v>
      </c>
      <c r="J110" s="776" t="str">
        <f>cst_wskakunin_kanri1_SIKAKU</f>
        <v/>
      </c>
      <c r="K110" s="776"/>
      <c r="L110" s="262" t="s">
        <v>2913</v>
      </c>
      <c r="M110" s="258" t="s">
        <v>2914</v>
      </c>
      <c r="Q110" s="259" t="s">
        <v>2912</v>
      </c>
      <c r="R110" s="776" t="str">
        <f>cst_wskakunin_kanri1_TOUROKU_KIKAN</f>
        <v/>
      </c>
      <c r="S110" s="776"/>
      <c r="T110" s="776"/>
      <c r="U110" s="262" t="s">
        <v>2913</v>
      </c>
      <c r="W110" s="261" t="s">
        <v>2915</v>
      </c>
      <c r="X110" s="776" t="str">
        <f>cst_wskakunin_kanri1_KENTIKUSI_NO</f>
        <v/>
      </c>
      <c r="Y110" s="776"/>
      <c r="Z110" s="776"/>
      <c r="AA110" s="261" t="s">
        <v>2849</v>
      </c>
    </row>
    <row r="111" spans="2:30" s="258" customFormat="1" ht="15" customHeight="1">
      <c r="D111" s="259" t="s">
        <v>2908</v>
      </c>
      <c r="F111" s="259"/>
      <c r="G111" s="259"/>
      <c r="H111" s="259"/>
      <c r="I111" s="775" t="str">
        <f>cst_wskakunin_kanri1_NAME</f>
        <v/>
      </c>
      <c r="J111" s="775"/>
      <c r="K111" s="775"/>
      <c r="L111" s="775"/>
      <c r="M111" s="775"/>
      <c r="N111" s="775"/>
      <c r="O111" s="775"/>
      <c r="P111" s="775"/>
      <c r="Q111" s="775"/>
      <c r="R111" s="775"/>
      <c r="S111" s="775"/>
      <c r="T111" s="775"/>
      <c r="U111" s="775"/>
      <c r="V111" s="775"/>
      <c r="W111" s="775"/>
      <c r="X111" s="775"/>
      <c r="Y111" s="775"/>
      <c r="Z111" s="775"/>
      <c r="AA111" s="775"/>
      <c r="AB111" s="775"/>
      <c r="AC111" s="775"/>
      <c r="AD111" s="775"/>
    </row>
    <row r="112" spans="2:30" s="258" customFormat="1" ht="15" customHeight="1">
      <c r="D112" s="259" t="s">
        <v>2916</v>
      </c>
      <c r="I112" s="261" t="s">
        <v>2912</v>
      </c>
      <c r="J112" s="776" t="str">
        <f>cst_wskakunin_kanri1_JIMU_SIKAKU</f>
        <v/>
      </c>
      <c r="K112" s="776"/>
      <c r="L112" s="262" t="s">
        <v>2913</v>
      </c>
      <c r="M112" s="258" t="s">
        <v>2917</v>
      </c>
      <c r="Q112" s="259" t="s">
        <v>2912</v>
      </c>
      <c r="R112" s="776" t="str">
        <f>cst_wskakunin_kanri1_JIMU_TOUROKU_KIKAN</f>
        <v/>
      </c>
      <c r="S112" s="776"/>
      <c r="T112" s="262" t="s">
        <v>2913</v>
      </c>
      <c r="W112" s="261" t="s">
        <v>2942</v>
      </c>
      <c r="X112" s="776" t="str">
        <f>cst_wskakunin_kanri1_JIMU_NO</f>
        <v/>
      </c>
      <c r="Y112" s="776"/>
      <c r="Z112" s="776"/>
      <c r="AA112" s="261" t="s">
        <v>2849</v>
      </c>
    </row>
    <row r="113" spans="2:30" s="258" customFormat="1" ht="15" customHeight="1">
      <c r="I113" s="775" t="str">
        <f>cst_wskakunin_kanri1_JIMU_NAME</f>
        <v/>
      </c>
      <c r="J113" s="775"/>
      <c r="K113" s="775"/>
      <c r="L113" s="775"/>
      <c r="M113" s="775"/>
      <c r="N113" s="775"/>
      <c r="O113" s="775"/>
      <c r="P113" s="775"/>
      <c r="Q113" s="775"/>
      <c r="R113" s="775"/>
      <c r="S113" s="775"/>
      <c r="T113" s="775"/>
      <c r="U113" s="775"/>
      <c r="V113" s="775"/>
      <c r="W113" s="775"/>
      <c r="X113" s="775"/>
      <c r="Y113" s="775"/>
      <c r="Z113" s="775"/>
      <c r="AA113" s="775"/>
      <c r="AB113" s="775"/>
      <c r="AC113" s="775"/>
      <c r="AD113" s="775"/>
    </row>
    <row r="114" spans="2:30" s="258" customFormat="1" ht="15" customHeight="1">
      <c r="D114" s="259" t="s">
        <v>2919</v>
      </c>
      <c r="F114" s="259"/>
      <c r="G114" s="259"/>
      <c r="H114" s="259"/>
      <c r="I114" s="775" t="str">
        <f>cst_wskakunin_kanri1_ZIP</f>
        <v/>
      </c>
      <c r="J114" s="775"/>
      <c r="K114" s="775"/>
      <c r="L114" s="775"/>
      <c r="M114" s="775"/>
      <c r="N114" s="775"/>
      <c r="O114" s="775"/>
      <c r="P114" s="775"/>
      <c r="Q114" s="775"/>
      <c r="R114" s="775"/>
      <c r="S114" s="775"/>
      <c r="T114" s="775"/>
      <c r="U114" s="775"/>
      <c r="V114" s="775"/>
      <c r="W114" s="775"/>
      <c r="X114" s="775"/>
      <c r="Y114" s="775"/>
      <c r="Z114" s="775"/>
      <c r="AA114" s="775"/>
      <c r="AB114" s="775"/>
      <c r="AC114" s="775"/>
      <c r="AD114" s="775"/>
    </row>
    <row r="115" spans="2:30" s="258" customFormat="1" ht="15" customHeight="1">
      <c r="D115" s="258" t="s">
        <v>2920</v>
      </c>
      <c r="F115" s="259"/>
      <c r="G115" s="259"/>
      <c r="H115" s="259"/>
      <c r="I115" s="776" t="str">
        <f>cst_wskakunin_kanri1__address</f>
        <v/>
      </c>
      <c r="J115" s="776"/>
      <c r="K115" s="776"/>
      <c r="L115" s="776"/>
      <c r="M115" s="776"/>
      <c r="N115" s="776"/>
      <c r="O115" s="776"/>
      <c r="P115" s="776"/>
      <c r="Q115" s="776"/>
      <c r="R115" s="776"/>
      <c r="S115" s="776"/>
      <c r="T115" s="776"/>
      <c r="U115" s="776"/>
      <c r="V115" s="776"/>
      <c r="W115" s="776"/>
      <c r="X115" s="776"/>
      <c r="Y115" s="776"/>
      <c r="Z115" s="776"/>
      <c r="AA115" s="776"/>
      <c r="AB115" s="776"/>
      <c r="AC115" s="776"/>
      <c r="AD115" s="776"/>
    </row>
    <row r="116" spans="2:30" s="258" customFormat="1" ht="15" customHeight="1">
      <c r="D116" s="259" t="s">
        <v>2921</v>
      </c>
      <c r="F116" s="259"/>
      <c r="G116" s="259"/>
      <c r="H116" s="259"/>
      <c r="I116" s="775" t="str">
        <f>cst_wskakunin_kanri1_TEL</f>
        <v/>
      </c>
      <c r="J116" s="775"/>
      <c r="K116" s="775"/>
      <c r="L116" s="775"/>
      <c r="M116" s="775"/>
      <c r="N116" s="775"/>
      <c r="O116" s="775"/>
      <c r="P116" s="775"/>
      <c r="Q116" s="775"/>
      <c r="R116" s="775"/>
      <c r="S116" s="775"/>
      <c r="T116" s="775"/>
      <c r="U116" s="775"/>
      <c r="V116" s="775"/>
      <c r="W116" s="775"/>
      <c r="X116" s="775"/>
      <c r="Y116" s="775"/>
      <c r="Z116" s="775"/>
      <c r="AA116" s="775"/>
      <c r="AB116" s="775"/>
      <c r="AC116" s="775"/>
      <c r="AD116" s="775"/>
    </row>
    <row r="117" spans="2:30" s="258" customFormat="1" ht="15" customHeight="1">
      <c r="B117" s="265"/>
      <c r="C117" s="265"/>
      <c r="D117" s="268" t="s">
        <v>2943</v>
      </c>
      <c r="E117" s="265"/>
      <c r="F117" s="268"/>
      <c r="G117" s="268"/>
      <c r="H117" s="268"/>
      <c r="I117" s="268"/>
      <c r="J117" s="268"/>
      <c r="K117" s="783" t="str">
        <f>cst_wskakunin_kanri1_DOC</f>
        <v/>
      </c>
      <c r="L117" s="783"/>
      <c r="M117" s="783"/>
      <c r="N117" s="783"/>
      <c r="O117" s="783"/>
      <c r="P117" s="783"/>
      <c r="Q117" s="783"/>
      <c r="R117" s="783"/>
      <c r="S117" s="783"/>
      <c r="T117" s="783"/>
      <c r="U117" s="783"/>
      <c r="V117" s="783"/>
      <c r="W117" s="783"/>
      <c r="X117" s="783"/>
      <c r="Y117" s="783"/>
      <c r="Z117" s="783"/>
      <c r="AA117" s="783"/>
      <c r="AB117" s="783"/>
      <c r="AC117" s="783"/>
      <c r="AD117" s="783"/>
    </row>
    <row r="118" spans="2:30" ht="15" customHeight="1">
      <c r="C118" s="254" t="s">
        <v>2944</v>
      </c>
    </row>
    <row r="119" spans="2:30" s="258" customFormat="1" ht="15" customHeight="1">
      <c r="D119" s="259" t="s">
        <v>2911</v>
      </c>
      <c r="F119" s="259"/>
      <c r="G119" s="259"/>
      <c r="H119" s="259"/>
      <c r="I119" s="261" t="s">
        <v>2912</v>
      </c>
      <c r="J119" s="776" t="str">
        <f>cst_wskakunin_kanri2_SIKAKU</f>
        <v/>
      </c>
      <c r="K119" s="776"/>
      <c r="L119" s="262" t="s">
        <v>2913</v>
      </c>
      <c r="M119" s="258" t="s">
        <v>2914</v>
      </c>
      <c r="Q119" s="259" t="s">
        <v>2912</v>
      </c>
      <c r="R119" s="776" t="str">
        <f>cst_wskakunin_kanri2_TOUROKU_KIKAN</f>
        <v/>
      </c>
      <c r="S119" s="776"/>
      <c r="T119" s="776"/>
      <c r="U119" s="262" t="s">
        <v>2913</v>
      </c>
      <c r="W119" s="261" t="s">
        <v>2915</v>
      </c>
      <c r="X119" s="776" t="str">
        <f>cst_wskakunin_kanri2_KENTIKUSI_NO</f>
        <v/>
      </c>
      <c r="Y119" s="776"/>
      <c r="Z119" s="776"/>
      <c r="AA119" s="261" t="s">
        <v>2849</v>
      </c>
    </row>
    <row r="120" spans="2:30" s="258" customFormat="1" ht="15" customHeight="1">
      <c r="D120" s="259" t="s">
        <v>2908</v>
      </c>
      <c r="F120" s="259"/>
      <c r="G120" s="259"/>
      <c r="H120" s="259"/>
      <c r="I120" s="775" t="str">
        <f>cst_wskakunin_kanri2_NAME</f>
        <v/>
      </c>
      <c r="J120" s="775"/>
      <c r="K120" s="775"/>
      <c r="L120" s="775"/>
      <c r="M120" s="775"/>
      <c r="N120" s="775"/>
      <c r="O120" s="775"/>
      <c r="P120" s="775"/>
      <c r="Q120" s="775"/>
      <c r="R120" s="775"/>
      <c r="S120" s="775"/>
      <c r="T120" s="775"/>
      <c r="U120" s="775"/>
      <c r="V120" s="775"/>
      <c r="W120" s="775"/>
      <c r="X120" s="775"/>
      <c r="Y120" s="775"/>
      <c r="Z120" s="775"/>
      <c r="AA120" s="775"/>
      <c r="AB120" s="775"/>
      <c r="AC120" s="775"/>
      <c r="AD120" s="775"/>
    </row>
    <row r="121" spans="2:30" s="258" customFormat="1" ht="15" customHeight="1">
      <c r="D121" s="259" t="s">
        <v>2916</v>
      </c>
      <c r="I121" s="261" t="s">
        <v>2912</v>
      </c>
      <c r="J121" s="776" t="str">
        <f>cst_wskakunin_kanri2_JIMU_SIKAKU</f>
        <v/>
      </c>
      <c r="K121" s="776"/>
      <c r="L121" s="262" t="s">
        <v>2913</v>
      </c>
      <c r="M121" s="258" t="s">
        <v>2917</v>
      </c>
      <c r="Q121" s="259" t="s">
        <v>2912</v>
      </c>
      <c r="R121" s="776" t="str">
        <f>cst_wskakunin_kanri2_JIMU_TOUROKU_KIKAN</f>
        <v/>
      </c>
      <c r="S121" s="776"/>
      <c r="T121" s="262" t="s">
        <v>2913</v>
      </c>
      <c r="W121" s="261" t="s">
        <v>2942</v>
      </c>
      <c r="X121" s="776" t="str">
        <f>cst_wskakunin_kanri2_JIMU_NO</f>
        <v/>
      </c>
      <c r="Y121" s="776"/>
      <c r="Z121" s="776"/>
      <c r="AA121" s="261" t="s">
        <v>2849</v>
      </c>
    </row>
    <row r="122" spans="2:30" s="258" customFormat="1" ht="15" customHeight="1">
      <c r="I122" s="775" t="str">
        <f>cst_wskakunin_kanri2_JIMU_NAME</f>
        <v/>
      </c>
      <c r="J122" s="775"/>
      <c r="K122" s="775"/>
      <c r="L122" s="775"/>
      <c r="M122" s="775"/>
      <c r="N122" s="775"/>
      <c r="O122" s="775"/>
      <c r="P122" s="775"/>
      <c r="Q122" s="775"/>
      <c r="R122" s="775"/>
      <c r="S122" s="775"/>
      <c r="T122" s="775"/>
      <c r="U122" s="775"/>
      <c r="V122" s="775"/>
      <c r="W122" s="775"/>
      <c r="X122" s="775"/>
      <c r="Y122" s="775"/>
      <c r="Z122" s="775"/>
      <c r="AA122" s="775"/>
      <c r="AB122" s="775"/>
      <c r="AC122" s="775"/>
      <c r="AD122" s="775"/>
    </row>
    <row r="123" spans="2:30" s="258" customFormat="1" ht="15" customHeight="1">
      <c r="D123" s="259" t="s">
        <v>2919</v>
      </c>
      <c r="F123" s="259"/>
      <c r="G123" s="259"/>
      <c r="H123" s="259"/>
      <c r="I123" s="775" t="str">
        <f>cst_wskakunin_kanri2_ZIP</f>
        <v/>
      </c>
      <c r="J123" s="775"/>
      <c r="K123" s="775"/>
      <c r="L123" s="775"/>
      <c r="M123" s="775"/>
      <c r="N123" s="775"/>
      <c r="O123" s="775"/>
      <c r="P123" s="775"/>
      <c r="Q123" s="775"/>
      <c r="R123" s="775"/>
      <c r="S123" s="775"/>
      <c r="T123" s="775"/>
      <c r="U123" s="775"/>
      <c r="V123" s="775"/>
      <c r="W123" s="775"/>
      <c r="X123" s="775"/>
      <c r="Y123" s="775"/>
      <c r="Z123" s="775"/>
      <c r="AA123" s="775"/>
      <c r="AB123" s="775"/>
      <c r="AC123" s="775"/>
      <c r="AD123" s="775"/>
    </row>
    <row r="124" spans="2:30" s="258" customFormat="1" ht="15" customHeight="1">
      <c r="D124" s="258" t="s">
        <v>2920</v>
      </c>
      <c r="F124" s="259"/>
      <c r="G124" s="259"/>
      <c r="H124" s="259"/>
      <c r="I124" s="776" t="str">
        <f>cst_wskakunin_kanri2__address</f>
        <v/>
      </c>
      <c r="J124" s="776"/>
      <c r="K124" s="776"/>
      <c r="L124" s="776"/>
      <c r="M124" s="776"/>
      <c r="N124" s="776"/>
      <c r="O124" s="776"/>
      <c r="P124" s="776"/>
      <c r="Q124" s="776"/>
      <c r="R124" s="776"/>
      <c r="S124" s="776"/>
      <c r="T124" s="776"/>
      <c r="U124" s="776"/>
      <c r="V124" s="776"/>
      <c r="W124" s="776"/>
      <c r="X124" s="776"/>
      <c r="Y124" s="776"/>
      <c r="Z124" s="776"/>
      <c r="AA124" s="776"/>
      <c r="AB124" s="776"/>
      <c r="AC124" s="776"/>
      <c r="AD124" s="776"/>
    </row>
    <row r="125" spans="2:30" s="258" customFormat="1" ht="15" customHeight="1">
      <c r="D125" s="259" t="s">
        <v>2921</v>
      </c>
      <c r="F125" s="259"/>
      <c r="G125" s="259"/>
      <c r="H125" s="259"/>
      <c r="I125" s="775" t="str">
        <f>cst_wskakunin_kanri2_TEL</f>
        <v/>
      </c>
      <c r="J125" s="775"/>
      <c r="K125" s="775"/>
      <c r="L125" s="775"/>
      <c r="M125" s="775"/>
      <c r="N125" s="775"/>
      <c r="O125" s="775"/>
      <c r="P125" s="775"/>
      <c r="Q125" s="775"/>
      <c r="R125" s="775"/>
      <c r="S125" s="775"/>
      <c r="T125" s="775"/>
      <c r="U125" s="775"/>
      <c r="V125" s="775"/>
      <c r="W125" s="775"/>
      <c r="X125" s="775"/>
      <c r="Y125" s="775"/>
      <c r="Z125" s="775"/>
      <c r="AA125" s="775"/>
      <c r="AB125" s="775"/>
      <c r="AC125" s="775"/>
      <c r="AD125" s="775"/>
    </row>
    <row r="126" spans="2:30" s="258" customFormat="1" ht="15" customHeight="1">
      <c r="B126" s="265"/>
      <c r="C126" s="265"/>
      <c r="D126" s="268" t="s">
        <v>2943</v>
      </c>
      <c r="E126" s="265"/>
      <c r="F126" s="268"/>
      <c r="G126" s="268"/>
      <c r="H126" s="268"/>
      <c r="I126" s="268"/>
      <c r="J126" s="268"/>
      <c r="K126" s="783" t="str">
        <f>cst_wskakunin_kanri2_DOC</f>
        <v/>
      </c>
      <c r="L126" s="783"/>
      <c r="M126" s="783"/>
      <c r="N126" s="783"/>
      <c r="O126" s="783"/>
      <c r="P126" s="783"/>
      <c r="Q126" s="783"/>
      <c r="R126" s="783"/>
      <c r="S126" s="783"/>
      <c r="T126" s="783"/>
      <c r="U126" s="783"/>
      <c r="V126" s="783"/>
      <c r="W126" s="783"/>
      <c r="X126" s="783"/>
      <c r="Y126" s="783"/>
      <c r="Z126" s="783"/>
      <c r="AA126" s="783"/>
      <c r="AB126" s="783"/>
      <c r="AC126" s="783"/>
      <c r="AD126" s="783"/>
    </row>
    <row r="127" spans="2:30" s="258" customFormat="1" ht="15" customHeight="1">
      <c r="D127" s="259" t="s">
        <v>2911</v>
      </c>
      <c r="F127" s="259"/>
      <c r="G127" s="259"/>
      <c r="H127" s="259"/>
      <c r="I127" s="261" t="s">
        <v>2912</v>
      </c>
      <c r="J127" s="776" t="str">
        <f>cst_wskakunin_kanri3_SIKAKU</f>
        <v/>
      </c>
      <c r="K127" s="776"/>
      <c r="L127" s="262" t="s">
        <v>2913</v>
      </c>
      <c r="M127" s="258" t="s">
        <v>2914</v>
      </c>
      <c r="Q127" s="259" t="s">
        <v>2912</v>
      </c>
      <c r="R127" s="776" t="str">
        <f>cst_wskakunin_kanri3_TOUROKU_KIKAN</f>
        <v/>
      </c>
      <c r="S127" s="776"/>
      <c r="T127" s="776"/>
      <c r="U127" s="262" t="s">
        <v>2913</v>
      </c>
      <c r="W127" s="261" t="s">
        <v>2915</v>
      </c>
      <c r="X127" s="776" t="str">
        <f>cst_wskakunin_kanri3_KENTIKUSI_NO</f>
        <v/>
      </c>
      <c r="Y127" s="776"/>
      <c r="Z127" s="776"/>
      <c r="AA127" s="261" t="s">
        <v>2849</v>
      </c>
    </row>
    <row r="128" spans="2:30" s="258" customFormat="1" ht="15" customHeight="1">
      <c r="D128" s="259" t="s">
        <v>2908</v>
      </c>
      <c r="F128" s="259"/>
      <c r="G128" s="259"/>
      <c r="H128" s="259"/>
      <c r="I128" s="775" t="str">
        <f>cst_wskakunin_kanri3_NAME</f>
        <v/>
      </c>
      <c r="J128" s="775"/>
      <c r="K128" s="775"/>
      <c r="L128" s="775"/>
      <c r="M128" s="775"/>
      <c r="N128" s="775"/>
      <c r="O128" s="775"/>
      <c r="P128" s="775"/>
      <c r="Q128" s="775"/>
      <c r="R128" s="775"/>
      <c r="S128" s="775"/>
      <c r="T128" s="775"/>
      <c r="U128" s="775"/>
      <c r="V128" s="775"/>
      <c r="W128" s="775"/>
      <c r="X128" s="775"/>
      <c r="Y128" s="775"/>
      <c r="Z128" s="775"/>
      <c r="AA128" s="775"/>
      <c r="AB128" s="775"/>
      <c r="AC128" s="775"/>
      <c r="AD128" s="775"/>
    </row>
    <row r="129" spans="2:30" s="258" customFormat="1" ht="15" customHeight="1">
      <c r="D129" s="259" t="s">
        <v>2916</v>
      </c>
      <c r="I129" s="261" t="s">
        <v>2912</v>
      </c>
      <c r="J129" s="776" t="str">
        <f>cst_wskakunin_kanri3_JIMU_SIKAKU</f>
        <v/>
      </c>
      <c r="K129" s="776"/>
      <c r="L129" s="262" t="s">
        <v>2913</v>
      </c>
      <c r="M129" s="258" t="s">
        <v>2917</v>
      </c>
      <c r="Q129" s="259" t="s">
        <v>2912</v>
      </c>
      <c r="R129" s="776" t="str">
        <f>cst_wskakunin_kanri3_JIMU_TOUROKU_KIKAN</f>
        <v/>
      </c>
      <c r="S129" s="776"/>
      <c r="T129" s="262" t="s">
        <v>2913</v>
      </c>
      <c r="W129" s="261" t="s">
        <v>2942</v>
      </c>
      <c r="X129" s="776" t="str">
        <f>cst_wskakunin_kanri3_JIMU_NO</f>
        <v/>
      </c>
      <c r="Y129" s="776"/>
      <c r="Z129" s="776"/>
      <c r="AA129" s="261" t="s">
        <v>2849</v>
      </c>
    </row>
    <row r="130" spans="2:30" s="258" customFormat="1" ht="15" customHeight="1">
      <c r="I130" s="775" t="str">
        <f>cst_wskakunin_kanri3_JIMU_NAME</f>
        <v/>
      </c>
      <c r="J130" s="775"/>
      <c r="K130" s="775"/>
      <c r="L130" s="775"/>
      <c r="M130" s="775"/>
      <c r="N130" s="775"/>
      <c r="O130" s="775"/>
      <c r="P130" s="775"/>
      <c r="Q130" s="775"/>
      <c r="R130" s="775"/>
      <c r="S130" s="775"/>
      <c r="T130" s="775"/>
      <c r="U130" s="775"/>
      <c r="V130" s="775"/>
      <c r="W130" s="775"/>
      <c r="X130" s="775"/>
      <c r="Y130" s="775"/>
      <c r="Z130" s="775"/>
      <c r="AA130" s="775"/>
      <c r="AB130" s="775"/>
      <c r="AC130" s="775"/>
      <c r="AD130" s="775"/>
    </row>
    <row r="131" spans="2:30" s="258" customFormat="1" ht="15" customHeight="1">
      <c r="D131" s="259" t="s">
        <v>2919</v>
      </c>
      <c r="F131" s="259"/>
      <c r="G131" s="259"/>
      <c r="H131" s="259"/>
      <c r="I131" s="775" t="str">
        <f>cst_wskakunin_kanri3_ZIP</f>
        <v/>
      </c>
      <c r="J131" s="775"/>
      <c r="K131" s="775"/>
      <c r="L131" s="775"/>
      <c r="M131" s="775"/>
      <c r="N131" s="775"/>
      <c r="O131" s="775"/>
      <c r="P131" s="775"/>
      <c r="Q131" s="775"/>
      <c r="R131" s="775"/>
      <c r="S131" s="775"/>
      <c r="T131" s="775"/>
      <c r="U131" s="775"/>
      <c r="V131" s="775"/>
      <c r="W131" s="775"/>
      <c r="X131" s="775"/>
      <c r="Y131" s="775"/>
      <c r="Z131" s="775"/>
      <c r="AA131" s="775"/>
      <c r="AB131" s="775"/>
      <c r="AC131" s="775"/>
      <c r="AD131" s="775"/>
    </row>
    <row r="132" spans="2:30" s="258" customFormat="1" ht="15" customHeight="1">
      <c r="D132" s="258" t="s">
        <v>2920</v>
      </c>
      <c r="F132" s="259"/>
      <c r="G132" s="259"/>
      <c r="H132" s="259"/>
      <c r="I132" s="776" t="str">
        <f>cst_wskakunin_kanri3__address</f>
        <v/>
      </c>
      <c r="J132" s="776"/>
      <c r="K132" s="776"/>
      <c r="L132" s="776"/>
      <c r="M132" s="776"/>
      <c r="N132" s="776"/>
      <c r="O132" s="776"/>
      <c r="P132" s="776"/>
      <c r="Q132" s="776"/>
      <c r="R132" s="776"/>
      <c r="S132" s="776"/>
      <c r="T132" s="776"/>
      <c r="U132" s="776"/>
      <c r="V132" s="776"/>
      <c r="W132" s="776"/>
      <c r="X132" s="776"/>
      <c r="Y132" s="776"/>
      <c r="Z132" s="776"/>
      <c r="AA132" s="776"/>
      <c r="AB132" s="776"/>
      <c r="AC132" s="776"/>
      <c r="AD132" s="776"/>
    </row>
    <row r="133" spans="2:30" s="258" customFormat="1" ht="15" customHeight="1">
      <c r="D133" s="259" t="s">
        <v>2921</v>
      </c>
      <c r="F133" s="259"/>
      <c r="G133" s="259"/>
      <c r="H133" s="259"/>
      <c r="I133" s="775" t="str">
        <f>cst_wskakunin_kanri3_TEL</f>
        <v/>
      </c>
      <c r="J133" s="775"/>
      <c r="K133" s="775"/>
      <c r="L133" s="775"/>
      <c r="M133" s="775"/>
      <c r="N133" s="775"/>
      <c r="O133" s="775"/>
      <c r="P133" s="775"/>
      <c r="Q133" s="775"/>
      <c r="R133" s="775"/>
      <c r="S133" s="775"/>
      <c r="T133" s="775"/>
      <c r="U133" s="775"/>
      <c r="V133" s="775"/>
      <c r="W133" s="775"/>
      <c r="X133" s="775"/>
      <c r="Y133" s="775"/>
      <c r="Z133" s="775"/>
      <c r="AA133" s="775"/>
      <c r="AB133" s="775"/>
      <c r="AC133" s="775"/>
      <c r="AD133" s="775"/>
    </row>
    <row r="134" spans="2:30" s="258" customFormat="1" ht="15" customHeight="1">
      <c r="B134" s="265"/>
      <c r="C134" s="265"/>
      <c r="D134" s="268" t="s">
        <v>2943</v>
      </c>
      <c r="E134" s="265"/>
      <c r="F134" s="268"/>
      <c r="G134" s="268"/>
      <c r="H134" s="268"/>
      <c r="I134" s="268"/>
      <c r="J134" s="268"/>
      <c r="K134" s="783" t="str">
        <f>cst_wskakunin_kanri3_DOC</f>
        <v/>
      </c>
      <c r="L134" s="783"/>
      <c r="M134" s="783"/>
      <c r="N134" s="783"/>
      <c r="O134" s="783"/>
      <c r="P134" s="783"/>
      <c r="Q134" s="783"/>
      <c r="R134" s="783"/>
      <c r="S134" s="783"/>
      <c r="T134" s="783"/>
      <c r="U134" s="783"/>
      <c r="V134" s="783"/>
      <c r="W134" s="783"/>
      <c r="X134" s="783"/>
      <c r="Y134" s="783"/>
      <c r="Z134" s="783"/>
      <c r="AA134" s="783"/>
      <c r="AB134" s="783"/>
      <c r="AC134" s="783"/>
      <c r="AD134" s="783"/>
    </row>
    <row r="135" spans="2:30" s="258" customFormat="1" ht="15" customHeight="1">
      <c r="D135" s="259" t="s">
        <v>2911</v>
      </c>
      <c r="F135" s="259"/>
      <c r="G135" s="259"/>
      <c r="H135" s="259"/>
      <c r="I135" s="261" t="s">
        <v>2912</v>
      </c>
      <c r="J135" s="776" t="str">
        <f>cst_wskakunin_kanri4_SIKAKU</f>
        <v/>
      </c>
      <c r="K135" s="776"/>
      <c r="L135" s="262" t="s">
        <v>2913</v>
      </c>
      <c r="M135" s="258" t="s">
        <v>2914</v>
      </c>
      <c r="Q135" s="259" t="s">
        <v>2912</v>
      </c>
      <c r="R135" s="776" t="str">
        <f>cst_wskakunin_kanri4_TOUROKU_KIKAN</f>
        <v/>
      </c>
      <c r="S135" s="776"/>
      <c r="T135" s="776"/>
      <c r="U135" s="262" t="s">
        <v>2913</v>
      </c>
      <c r="W135" s="261" t="s">
        <v>2915</v>
      </c>
      <c r="X135" s="776" t="str">
        <f>cst_wskakunin_kanri4_KENTIKUSI_NO</f>
        <v/>
      </c>
      <c r="Y135" s="776"/>
      <c r="Z135" s="776"/>
      <c r="AA135" s="261" t="s">
        <v>2849</v>
      </c>
    </row>
    <row r="136" spans="2:30" s="258" customFormat="1" ht="15" customHeight="1">
      <c r="D136" s="259" t="s">
        <v>2908</v>
      </c>
      <c r="F136" s="259"/>
      <c r="G136" s="259"/>
      <c r="H136" s="259"/>
      <c r="I136" s="775" t="str">
        <f>cst_wskakunin_kanri4_NAME</f>
        <v/>
      </c>
      <c r="J136" s="775"/>
      <c r="K136" s="775"/>
      <c r="L136" s="775"/>
      <c r="M136" s="775"/>
      <c r="N136" s="775"/>
      <c r="O136" s="775"/>
      <c r="P136" s="775"/>
      <c r="Q136" s="775"/>
      <c r="R136" s="775"/>
      <c r="S136" s="775"/>
      <c r="T136" s="775"/>
      <c r="U136" s="775"/>
      <c r="V136" s="775"/>
      <c r="W136" s="775"/>
      <c r="X136" s="775"/>
      <c r="Y136" s="775"/>
      <c r="Z136" s="775"/>
      <c r="AA136" s="775"/>
      <c r="AB136" s="775"/>
      <c r="AC136" s="775"/>
      <c r="AD136" s="775"/>
    </row>
    <row r="137" spans="2:30" s="258" customFormat="1" ht="15" customHeight="1">
      <c r="D137" s="259" t="s">
        <v>2916</v>
      </c>
      <c r="I137" s="261" t="s">
        <v>2912</v>
      </c>
      <c r="J137" s="776" t="str">
        <f>cst_wskakunin_kanri4_JIMU_SIKAKU</f>
        <v/>
      </c>
      <c r="K137" s="776"/>
      <c r="L137" s="262" t="s">
        <v>2913</v>
      </c>
      <c r="M137" s="258" t="s">
        <v>2917</v>
      </c>
      <c r="Q137" s="259" t="s">
        <v>2912</v>
      </c>
      <c r="R137" s="776" t="str">
        <f>cst_wskakunin_kanri4_JIMU_TOUROKU_KIKAN</f>
        <v/>
      </c>
      <c r="S137" s="776"/>
      <c r="T137" s="262" t="s">
        <v>2913</v>
      </c>
      <c r="W137" s="261" t="s">
        <v>2942</v>
      </c>
      <c r="X137" s="776" t="str">
        <f>cst_wskakunin_kanri4_JIMU_NO</f>
        <v/>
      </c>
      <c r="Y137" s="776"/>
      <c r="Z137" s="776"/>
      <c r="AA137" s="261" t="s">
        <v>2849</v>
      </c>
    </row>
    <row r="138" spans="2:30" s="258" customFormat="1" ht="15" customHeight="1">
      <c r="I138" s="775" t="str">
        <f>cst_wskakunin_kanri4_JIMU_NAME</f>
        <v/>
      </c>
      <c r="J138" s="775"/>
      <c r="K138" s="775"/>
      <c r="L138" s="775"/>
      <c r="M138" s="775"/>
      <c r="N138" s="775"/>
      <c r="O138" s="775"/>
      <c r="P138" s="775"/>
      <c r="Q138" s="775"/>
      <c r="R138" s="775"/>
      <c r="S138" s="775"/>
      <c r="T138" s="775"/>
      <c r="U138" s="775"/>
      <c r="V138" s="775"/>
      <c r="W138" s="775"/>
      <c r="X138" s="775"/>
      <c r="Y138" s="775"/>
      <c r="Z138" s="775"/>
      <c r="AA138" s="775"/>
      <c r="AB138" s="775"/>
      <c r="AC138" s="775"/>
      <c r="AD138" s="775"/>
    </row>
    <row r="139" spans="2:30" s="258" customFormat="1" ht="15" customHeight="1">
      <c r="D139" s="259" t="s">
        <v>2919</v>
      </c>
      <c r="F139" s="259"/>
      <c r="G139" s="259"/>
      <c r="H139" s="259"/>
      <c r="I139" s="775" t="str">
        <f>cst_wskakunin_kanri4_ZIP</f>
        <v/>
      </c>
      <c r="J139" s="775"/>
      <c r="K139" s="775"/>
      <c r="L139" s="775"/>
      <c r="M139" s="775"/>
      <c r="N139" s="775"/>
      <c r="O139" s="775"/>
      <c r="P139" s="775"/>
      <c r="Q139" s="775"/>
      <c r="R139" s="775"/>
      <c r="S139" s="775"/>
      <c r="T139" s="775"/>
      <c r="U139" s="775"/>
      <c r="V139" s="775"/>
      <c r="W139" s="775"/>
      <c r="X139" s="775"/>
      <c r="Y139" s="775"/>
      <c r="Z139" s="775"/>
      <c r="AA139" s="775"/>
      <c r="AB139" s="775"/>
      <c r="AC139" s="775"/>
      <c r="AD139" s="775"/>
    </row>
    <row r="140" spans="2:30" s="258" customFormat="1" ht="15" customHeight="1">
      <c r="D140" s="258" t="s">
        <v>2920</v>
      </c>
      <c r="F140" s="259"/>
      <c r="G140" s="259"/>
      <c r="H140" s="259"/>
      <c r="I140" s="776" t="str">
        <f>cst_wskakunin_kanri4__address</f>
        <v/>
      </c>
      <c r="J140" s="776"/>
      <c r="K140" s="776"/>
      <c r="L140" s="776"/>
      <c r="M140" s="776"/>
      <c r="N140" s="776"/>
      <c r="O140" s="776"/>
      <c r="P140" s="776"/>
      <c r="Q140" s="776"/>
      <c r="R140" s="776"/>
      <c r="S140" s="776"/>
      <c r="T140" s="776"/>
      <c r="U140" s="776"/>
      <c r="V140" s="776"/>
      <c r="W140" s="776"/>
      <c r="X140" s="776"/>
      <c r="Y140" s="776"/>
      <c r="Z140" s="776"/>
      <c r="AA140" s="776"/>
      <c r="AB140" s="776"/>
      <c r="AC140" s="776"/>
      <c r="AD140" s="776"/>
    </row>
    <row r="141" spans="2:30" s="258" customFormat="1" ht="15" customHeight="1">
      <c r="D141" s="259" t="s">
        <v>2921</v>
      </c>
      <c r="F141" s="259"/>
      <c r="G141" s="259"/>
      <c r="H141" s="259"/>
      <c r="I141" s="775" t="str">
        <f>cst_wskakunin_kanri4_TEL</f>
        <v/>
      </c>
      <c r="J141" s="775"/>
      <c r="K141" s="775"/>
      <c r="L141" s="775"/>
      <c r="M141" s="775"/>
      <c r="N141" s="775"/>
      <c r="O141" s="775"/>
      <c r="P141" s="775"/>
      <c r="Q141" s="775"/>
      <c r="R141" s="775"/>
      <c r="S141" s="775"/>
      <c r="T141" s="775"/>
      <c r="U141" s="775"/>
      <c r="V141" s="775"/>
      <c r="W141" s="775"/>
      <c r="X141" s="775"/>
      <c r="Y141" s="775"/>
      <c r="Z141" s="775"/>
      <c r="AA141" s="775"/>
      <c r="AB141" s="775"/>
      <c r="AC141" s="775"/>
      <c r="AD141" s="775"/>
    </row>
    <row r="142" spans="2:30" s="258" customFormat="1" ht="15" customHeight="1">
      <c r="B142" s="263"/>
      <c r="C142" s="263"/>
      <c r="D142" s="264" t="s">
        <v>2943</v>
      </c>
      <c r="E142" s="263"/>
      <c r="F142" s="264"/>
      <c r="G142" s="264"/>
      <c r="H142" s="264"/>
      <c r="I142" s="264"/>
      <c r="J142" s="264"/>
      <c r="K142" s="777" t="str">
        <f>cst_wskakunin_kanri4_DOC</f>
        <v/>
      </c>
      <c r="L142" s="777"/>
      <c r="M142" s="777"/>
      <c r="N142" s="777"/>
      <c r="O142" s="777"/>
      <c r="P142" s="777"/>
      <c r="Q142" s="777"/>
      <c r="R142" s="777"/>
      <c r="S142" s="777"/>
      <c r="T142" s="777"/>
      <c r="U142" s="777"/>
      <c r="V142" s="777"/>
      <c r="W142" s="777"/>
      <c r="X142" s="777"/>
      <c r="Y142" s="777"/>
      <c r="Z142" s="777"/>
      <c r="AA142" s="777"/>
      <c r="AB142" s="777"/>
      <c r="AC142" s="777"/>
      <c r="AD142" s="777"/>
    </row>
    <row r="143" spans="2:30" ht="15" customHeight="1">
      <c r="C143" s="254" t="s">
        <v>2945</v>
      </c>
    </row>
    <row r="144" spans="2:30" ht="15" customHeight="1">
      <c r="D144" s="259" t="s">
        <v>2929</v>
      </c>
      <c r="I144" s="778" t="str">
        <f>cst_wskakunin_sekou1_NAME</f>
        <v/>
      </c>
      <c r="J144" s="778"/>
      <c r="K144" s="778"/>
      <c r="L144" s="778"/>
      <c r="M144" s="778"/>
      <c r="N144" s="778"/>
      <c r="O144" s="778"/>
      <c r="P144" s="778"/>
      <c r="Q144" s="778"/>
      <c r="R144" s="778"/>
      <c r="S144" s="778"/>
      <c r="T144" s="778"/>
      <c r="U144" s="778"/>
      <c r="V144" s="778"/>
      <c r="W144" s="778"/>
      <c r="X144" s="778"/>
      <c r="Y144" s="778"/>
      <c r="Z144" s="778"/>
      <c r="AA144" s="778"/>
      <c r="AB144" s="778"/>
      <c r="AC144" s="778"/>
      <c r="AD144" s="778"/>
    </row>
    <row r="145" spans="2:30" ht="15" customHeight="1">
      <c r="D145" s="259" t="s">
        <v>2946</v>
      </c>
      <c r="I145" s="254" t="s">
        <v>1497</v>
      </c>
      <c r="M145" s="254" t="s">
        <v>2912</v>
      </c>
      <c r="N145" s="791" t="str">
        <f>cst_wskakunin_sekou1_SEKOU_SIKAKU</f>
        <v/>
      </c>
      <c r="O145" s="791"/>
      <c r="P145" s="791"/>
      <c r="Q145" s="254" t="s">
        <v>2913</v>
      </c>
      <c r="S145" s="254" t="s">
        <v>2947</v>
      </c>
      <c r="T145" s="791" t="str">
        <f>cst_wskakunin_sekou1_SEKOU_NO</f>
        <v/>
      </c>
      <c r="U145" s="791"/>
      <c r="V145" s="791"/>
      <c r="W145" s="791"/>
      <c r="X145" s="791"/>
      <c r="Y145" s="254" t="s">
        <v>2849</v>
      </c>
    </row>
    <row r="146" spans="2:30" ht="15" customHeight="1">
      <c r="D146" s="259"/>
      <c r="I146" s="778" t="str">
        <f>cst_wskakunin_sekou1_JIMU_NAME</f>
        <v/>
      </c>
      <c r="J146" s="778"/>
      <c r="K146" s="778"/>
      <c r="L146" s="778"/>
      <c r="M146" s="778"/>
      <c r="N146" s="778"/>
      <c r="O146" s="778"/>
      <c r="P146" s="778"/>
      <c r="Q146" s="778"/>
      <c r="R146" s="778"/>
      <c r="S146" s="778"/>
      <c r="T146" s="778"/>
      <c r="U146" s="778"/>
      <c r="V146" s="778"/>
      <c r="W146" s="778"/>
      <c r="X146" s="778"/>
      <c r="Y146" s="778"/>
      <c r="Z146" s="778"/>
      <c r="AA146" s="778"/>
      <c r="AB146" s="778"/>
      <c r="AC146" s="778"/>
      <c r="AD146" s="778"/>
    </row>
    <row r="147" spans="2:30" s="258" customFormat="1" ht="15" customHeight="1">
      <c r="D147" s="259" t="s">
        <v>1065</v>
      </c>
      <c r="F147" s="259"/>
      <c r="G147" s="259"/>
      <c r="H147" s="259"/>
      <c r="I147" s="775" t="str">
        <f>cst_wskakunin_sekou1_ZIP</f>
        <v/>
      </c>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2:30" s="258" customFormat="1" ht="15" customHeight="1">
      <c r="D148" s="258" t="s">
        <v>2938</v>
      </c>
      <c r="F148" s="259"/>
      <c r="G148" s="259"/>
      <c r="H148" s="259"/>
      <c r="I148" s="775" t="str">
        <f>cst_wskakunin_sekou1__address</f>
        <v/>
      </c>
      <c r="J148" s="775"/>
      <c r="K148" s="775"/>
      <c r="L148" s="775"/>
      <c r="M148" s="775"/>
      <c r="N148" s="775"/>
      <c r="O148" s="775"/>
      <c r="P148" s="775"/>
      <c r="Q148" s="775"/>
      <c r="R148" s="775"/>
      <c r="S148" s="775"/>
      <c r="T148" s="775"/>
      <c r="U148" s="775"/>
      <c r="V148" s="775"/>
      <c r="W148" s="775"/>
      <c r="X148" s="775"/>
      <c r="Y148" s="775"/>
      <c r="Z148" s="775"/>
      <c r="AA148" s="775"/>
      <c r="AB148" s="775"/>
      <c r="AC148" s="775"/>
      <c r="AD148" s="775"/>
    </row>
    <row r="149" spans="2:30" s="258" customFormat="1" ht="15" customHeight="1">
      <c r="B149" s="263"/>
      <c r="C149" s="263"/>
      <c r="D149" s="264" t="s">
        <v>1071</v>
      </c>
      <c r="E149" s="263"/>
      <c r="F149" s="264"/>
      <c r="G149" s="264"/>
      <c r="H149" s="264"/>
      <c r="I149" s="777" t="str">
        <f>cst_wskakunin_sekou1_TEL</f>
        <v/>
      </c>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2:30" ht="15" customHeight="1">
      <c r="C150" s="254" t="s">
        <v>2948</v>
      </c>
      <c r="I150" s="254" t="s">
        <v>2949</v>
      </c>
      <c r="J150" s="733"/>
      <c r="K150" s="733"/>
      <c r="L150" s="733"/>
      <c r="M150" s="733"/>
      <c r="N150" s="788" t="str">
        <f>cst_wskakunin_BUILD_NAME</f>
        <v xml:space="preserve"> テスト</v>
      </c>
      <c r="O150" s="788"/>
      <c r="P150" s="788"/>
      <c r="Q150" s="788"/>
      <c r="R150" s="788"/>
      <c r="S150" s="788"/>
      <c r="T150" s="788"/>
      <c r="U150" s="788"/>
      <c r="V150" s="788"/>
      <c r="W150" s="788"/>
      <c r="X150" s="788"/>
      <c r="Y150" s="788"/>
      <c r="Z150" s="788"/>
      <c r="AA150" s="788"/>
      <c r="AB150" s="788"/>
      <c r="AC150" s="788"/>
      <c r="AD150" s="788"/>
    </row>
    <row r="151" spans="2:30" ht="15" customHeight="1">
      <c r="I151" s="789" t="str">
        <f>cst_wskakunin_P2_BIKOU</f>
        <v/>
      </c>
      <c r="J151" s="789"/>
      <c r="K151" s="789"/>
      <c r="L151" s="789"/>
      <c r="M151" s="789"/>
      <c r="N151" s="789"/>
      <c r="O151" s="789"/>
      <c r="P151" s="789"/>
      <c r="Q151" s="789"/>
      <c r="R151" s="789"/>
      <c r="S151" s="789"/>
      <c r="T151" s="789"/>
      <c r="U151" s="789"/>
      <c r="V151" s="789"/>
      <c r="W151" s="789"/>
      <c r="X151" s="789"/>
      <c r="Y151" s="789"/>
      <c r="Z151" s="789"/>
      <c r="AA151" s="789"/>
      <c r="AB151" s="789"/>
      <c r="AC151" s="789"/>
      <c r="AD151" s="789"/>
    </row>
    <row r="152" spans="2:30" ht="15" customHeight="1">
      <c r="I152" s="789"/>
      <c r="J152" s="789"/>
      <c r="K152" s="789"/>
      <c r="L152" s="789"/>
      <c r="M152" s="789"/>
      <c r="N152" s="789"/>
      <c r="O152" s="789"/>
      <c r="P152" s="789"/>
      <c r="Q152" s="789"/>
      <c r="R152" s="789"/>
      <c r="S152" s="789"/>
      <c r="T152" s="789"/>
      <c r="U152" s="789"/>
      <c r="V152" s="789"/>
      <c r="W152" s="789"/>
      <c r="X152" s="789"/>
      <c r="Y152" s="789"/>
      <c r="Z152" s="789"/>
      <c r="AA152" s="789"/>
      <c r="AB152" s="789"/>
      <c r="AC152" s="789"/>
      <c r="AD152" s="789"/>
    </row>
    <row r="153" spans="2:30" ht="15" customHeight="1">
      <c r="B153" s="260"/>
      <c r="C153" s="260"/>
      <c r="D153" s="260"/>
      <c r="E153" s="260"/>
      <c r="F153" s="260"/>
      <c r="G153" s="260"/>
      <c r="H153" s="260"/>
      <c r="I153" s="790"/>
      <c r="J153" s="790"/>
      <c r="K153" s="790"/>
      <c r="L153" s="790"/>
      <c r="M153" s="790"/>
      <c r="N153" s="790"/>
      <c r="O153" s="790"/>
      <c r="P153" s="790"/>
      <c r="Q153" s="790"/>
      <c r="R153" s="790"/>
      <c r="S153" s="790"/>
      <c r="T153" s="790"/>
      <c r="U153" s="790"/>
      <c r="V153" s="790"/>
      <c r="W153" s="790"/>
      <c r="X153" s="790"/>
      <c r="Y153" s="790"/>
      <c r="Z153" s="790"/>
      <c r="AA153" s="790"/>
      <c r="AB153" s="790"/>
      <c r="AC153" s="790"/>
      <c r="AD153" s="790"/>
    </row>
  </sheetData>
  <mergeCells count="181">
    <mergeCell ref="I131:AD131"/>
    <mergeCell ref="I132:AD132"/>
    <mergeCell ref="I133:AD133"/>
    <mergeCell ref="Y1:AD1"/>
    <mergeCell ref="N150:AD150"/>
    <mergeCell ref="I151:AD153"/>
    <mergeCell ref="N145:P145"/>
    <mergeCell ref="T145:X145"/>
    <mergeCell ref="I146:AD146"/>
    <mergeCell ref="I138:AD138"/>
    <mergeCell ref="K142:AD142"/>
    <mergeCell ref="K134:AD134"/>
    <mergeCell ref="J135:K135"/>
    <mergeCell ref="R135:T135"/>
    <mergeCell ref="X135:Z135"/>
    <mergeCell ref="I136:AD136"/>
    <mergeCell ref="J137:K137"/>
    <mergeCell ref="R137:S137"/>
    <mergeCell ref="X137:Z137"/>
    <mergeCell ref="I128:AD128"/>
    <mergeCell ref="J129:K129"/>
    <mergeCell ref="R129:S129"/>
    <mergeCell ref="X129:Z129"/>
    <mergeCell ref="I130:AD130"/>
    <mergeCell ref="I122:AD122"/>
    <mergeCell ref="K126:AD126"/>
    <mergeCell ref="J127:K127"/>
    <mergeCell ref="R127:T127"/>
    <mergeCell ref="X127:Z127"/>
    <mergeCell ref="I123:AD123"/>
    <mergeCell ref="I124:AD124"/>
    <mergeCell ref="I125:AD125"/>
    <mergeCell ref="K117:AD117"/>
    <mergeCell ref="J119:K119"/>
    <mergeCell ref="R119:T119"/>
    <mergeCell ref="X119:Z119"/>
    <mergeCell ref="I120:AD120"/>
    <mergeCell ref="J121:K121"/>
    <mergeCell ref="R121:S121"/>
    <mergeCell ref="X121:Z121"/>
    <mergeCell ref="J112:K112"/>
    <mergeCell ref="R112:S112"/>
    <mergeCell ref="X112:Z112"/>
    <mergeCell ref="I113:AD113"/>
    <mergeCell ref="I114:AD114"/>
    <mergeCell ref="I115:AD115"/>
    <mergeCell ref="I116:AD116"/>
    <mergeCell ref="I98:AD98"/>
    <mergeCell ref="I106:AD106"/>
    <mergeCell ref="K107:AD107"/>
    <mergeCell ref="J110:K110"/>
    <mergeCell ref="R110:T110"/>
    <mergeCell ref="X110:Z110"/>
    <mergeCell ref="I111:AD111"/>
    <mergeCell ref="I99:AD99"/>
    <mergeCell ref="K100:AD100"/>
    <mergeCell ref="I101:AD101"/>
    <mergeCell ref="I102:AD102"/>
    <mergeCell ref="I103:AD103"/>
    <mergeCell ref="I104:AD104"/>
    <mergeCell ref="I105:AD105"/>
    <mergeCell ref="I92:AD92"/>
    <mergeCell ref="K93:AD93"/>
    <mergeCell ref="I94:AD94"/>
    <mergeCell ref="I95:AD95"/>
    <mergeCell ref="I84:AD84"/>
    <mergeCell ref="K85:AD85"/>
    <mergeCell ref="I87:AD87"/>
    <mergeCell ref="I88:AD88"/>
    <mergeCell ref="I89:AD89"/>
    <mergeCell ref="I90:AD90"/>
    <mergeCell ref="I91:AD91"/>
    <mergeCell ref="I81:AD81"/>
    <mergeCell ref="I82:AD82"/>
    <mergeCell ref="I83:AD83"/>
    <mergeCell ref="I67:O67"/>
    <mergeCell ref="P67:Z67"/>
    <mergeCell ref="P68:Z68"/>
    <mergeCell ref="I69:O69"/>
    <mergeCell ref="P69:Z69"/>
    <mergeCell ref="P71:Z71"/>
    <mergeCell ref="I76:O76"/>
    <mergeCell ref="P76:Z76"/>
    <mergeCell ref="I79:AD79"/>
    <mergeCell ref="I80:AD80"/>
    <mergeCell ref="I72:O72"/>
    <mergeCell ref="P72:Z72"/>
    <mergeCell ref="P73:Z73"/>
    <mergeCell ref="I74:O74"/>
    <mergeCell ref="P74:Z74"/>
    <mergeCell ref="P75:Z75"/>
    <mergeCell ref="I62:O62"/>
    <mergeCell ref="P62:Z62"/>
    <mergeCell ref="P64:Z64"/>
    <mergeCell ref="I65:O65"/>
    <mergeCell ref="P65:Z65"/>
    <mergeCell ref="P66:Z66"/>
    <mergeCell ref="P58:Z58"/>
    <mergeCell ref="I59:O59"/>
    <mergeCell ref="P59:Z59"/>
    <mergeCell ref="P61:Z61"/>
    <mergeCell ref="J49:K49"/>
    <mergeCell ref="R49:S49"/>
    <mergeCell ref="X49:Z49"/>
    <mergeCell ref="I50:AD50"/>
    <mergeCell ref="T49:W49"/>
    <mergeCell ref="I51:AD51"/>
    <mergeCell ref="I52:AD52"/>
    <mergeCell ref="I53:AD53"/>
    <mergeCell ref="L54:AD54"/>
    <mergeCell ref="J47:K47"/>
    <mergeCell ref="R47:T47"/>
    <mergeCell ref="X47:Z47"/>
    <mergeCell ref="I48:AD48"/>
    <mergeCell ref="J41:K41"/>
    <mergeCell ref="R41:S41"/>
    <mergeCell ref="X41:Z41"/>
    <mergeCell ref="I42:AD42"/>
    <mergeCell ref="T41:W41"/>
    <mergeCell ref="I43:AD43"/>
    <mergeCell ref="I44:AD44"/>
    <mergeCell ref="I45:AD45"/>
    <mergeCell ref="L46:AD46"/>
    <mergeCell ref="J39:K39"/>
    <mergeCell ref="R39:T39"/>
    <mergeCell ref="X39:Z39"/>
    <mergeCell ref="I40:AD40"/>
    <mergeCell ref="J33:K33"/>
    <mergeCell ref="R33:S33"/>
    <mergeCell ref="X33:Z33"/>
    <mergeCell ref="I34:AD34"/>
    <mergeCell ref="T33:W33"/>
    <mergeCell ref="I35:AD35"/>
    <mergeCell ref="I36:AD36"/>
    <mergeCell ref="I37:AD37"/>
    <mergeCell ref="L38:AD38"/>
    <mergeCell ref="I32:AD32"/>
    <mergeCell ref="I23:AD23"/>
    <mergeCell ref="J24:K24"/>
    <mergeCell ref="R24:S24"/>
    <mergeCell ref="X24:Z24"/>
    <mergeCell ref="I25:AD25"/>
    <mergeCell ref="T24:W24"/>
    <mergeCell ref="I26:AD26"/>
    <mergeCell ref="I27:AD27"/>
    <mergeCell ref="I28:AD28"/>
    <mergeCell ref="L29:AD29"/>
    <mergeCell ref="J15:K15"/>
    <mergeCell ref="R15:S15"/>
    <mergeCell ref="X15:Z15"/>
    <mergeCell ref="T15:W15"/>
    <mergeCell ref="I17:AD17"/>
    <mergeCell ref="I18:AD18"/>
    <mergeCell ref="I19:AD19"/>
    <mergeCell ref="J31:K31"/>
    <mergeCell ref="R31:T31"/>
    <mergeCell ref="X31:Z31"/>
    <mergeCell ref="I1:X1"/>
    <mergeCell ref="I139:AD139"/>
    <mergeCell ref="I140:AD140"/>
    <mergeCell ref="I141:AD141"/>
    <mergeCell ref="I148:AD148"/>
    <mergeCell ref="I147:AD147"/>
    <mergeCell ref="I149:AD149"/>
    <mergeCell ref="I144:AD144"/>
    <mergeCell ref="B2:AD3"/>
    <mergeCell ref="C5:AD5"/>
    <mergeCell ref="I8:AD8"/>
    <mergeCell ref="I9:AD9"/>
    <mergeCell ref="I16:AD16"/>
    <mergeCell ref="I10:AD10"/>
    <mergeCell ref="I11:AD11"/>
    <mergeCell ref="I96:AD96"/>
    <mergeCell ref="I97:AD97"/>
    <mergeCell ref="J22:K22"/>
    <mergeCell ref="R22:T22"/>
    <mergeCell ref="X22:Z22"/>
    <mergeCell ref="J13:K13"/>
    <mergeCell ref="R13:T13"/>
    <mergeCell ref="X13:Z13"/>
    <mergeCell ref="I14:AD14"/>
  </mergeCells>
  <phoneticPr fontId="116"/>
  <printOptions horizontalCentered="1"/>
  <pageMargins left="0.39370078740157483" right="0.39370078740157483" top="0.39370078740157483" bottom="0.39370078740157483" header="0" footer="0.19685039370078741"/>
  <pageSetup paperSize="9" fitToHeight="3" orientation="portrait" blackAndWhite="1" r:id="rId1"/>
  <rowBreaks count="2" manualBreakCount="2">
    <brk id="54" max="16383" man="1"/>
    <brk id="10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85"/>
  <sheetViews>
    <sheetView zoomScaleNormal="100" zoomScaleSheetLayoutView="110" workbookViewId="0"/>
  </sheetViews>
  <sheetFormatPr defaultColWidth="9.125" defaultRowHeight="11.25"/>
  <cols>
    <col min="1" max="2" width="1.75" style="254" customWidth="1"/>
    <col min="3" max="3" width="2.875" style="254" customWidth="1"/>
    <col min="4" max="4" width="3" style="254" customWidth="1"/>
    <col min="5" max="6" width="3.625" style="254" customWidth="1"/>
    <col min="7" max="7" width="3.25" style="254" customWidth="1"/>
    <col min="8" max="8" width="1.375" style="254" customWidth="1"/>
    <col min="9" max="9" width="2.125" style="254" customWidth="1"/>
    <col min="10" max="11" width="3" style="254" customWidth="1"/>
    <col min="12" max="14" width="2.875" style="254" customWidth="1"/>
    <col min="15" max="15" width="3" style="254" customWidth="1"/>
    <col min="16" max="16" width="2.875" style="254" customWidth="1"/>
    <col min="17" max="17" width="2.125" style="254" customWidth="1"/>
    <col min="18" max="19" width="2.75" style="254" customWidth="1"/>
    <col min="20" max="21" width="2.125" style="254" customWidth="1"/>
    <col min="22" max="59" width="2.875" style="254" customWidth="1"/>
    <col min="60" max="256" width="9" style="254" customWidth="1"/>
    <col min="257" max="258" width="1.75" style="254" customWidth="1"/>
    <col min="259" max="259" width="2.875" style="254" customWidth="1"/>
    <col min="260" max="260" width="3" style="254" customWidth="1"/>
    <col min="261" max="262" width="3.625" style="254" customWidth="1"/>
    <col min="263" max="263" width="3.25" style="254" customWidth="1"/>
    <col min="264" max="264" width="1.375" style="254" customWidth="1"/>
    <col min="265" max="265" width="2.125" style="254" customWidth="1"/>
    <col min="266" max="267" width="3" style="254" customWidth="1"/>
    <col min="268" max="270" width="2.875" style="254" customWidth="1"/>
    <col min="271" max="271" width="3" style="254" customWidth="1"/>
    <col min="272" max="272" width="2.875" style="254" customWidth="1"/>
    <col min="273" max="273" width="2.125" style="254" customWidth="1"/>
    <col min="274" max="275" width="2.75" style="254" customWidth="1"/>
    <col min="276" max="277" width="2.125" style="254" customWidth="1"/>
    <col min="278" max="315" width="2.875" style="254" customWidth="1"/>
    <col min="316" max="512" width="9" style="254" customWidth="1"/>
    <col min="513" max="514" width="1.75" style="254" customWidth="1"/>
    <col min="515" max="515" width="2.875" style="254" customWidth="1"/>
    <col min="516" max="516" width="3" style="254" customWidth="1"/>
    <col min="517" max="518" width="3.625" style="254" customWidth="1"/>
    <col min="519" max="519" width="3.25" style="254" customWidth="1"/>
    <col min="520" max="520" width="1.375" style="254" customWidth="1"/>
    <col min="521" max="521" width="2.125" style="254" customWidth="1"/>
    <col min="522" max="523" width="3" style="254" customWidth="1"/>
    <col min="524" max="526" width="2.875" style="254" customWidth="1"/>
    <col min="527" max="527" width="3" style="254" customWidth="1"/>
    <col min="528" max="528" width="2.875" style="254" customWidth="1"/>
    <col min="529" max="529" width="2.125" style="254" customWidth="1"/>
    <col min="530" max="531" width="2.75" style="254" customWidth="1"/>
    <col min="532" max="533" width="2.125" style="254" customWidth="1"/>
    <col min="534" max="571" width="2.875" style="254" customWidth="1"/>
    <col min="572" max="768" width="9" style="254" customWidth="1"/>
    <col min="769" max="770" width="1.75" style="254" customWidth="1"/>
    <col min="771" max="771" width="2.875" style="254" customWidth="1"/>
    <col min="772" max="772" width="3" style="254" customWidth="1"/>
    <col min="773" max="774" width="3.625" style="254" customWidth="1"/>
    <col min="775" max="775" width="3.25" style="254" customWidth="1"/>
    <col min="776" max="776" width="1.375" style="254" customWidth="1"/>
    <col min="777" max="777" width="2.125" style="254" customWidth="1"/>
    <col min="778" max="779" width="3" style="254" customWidth="1"/>
    <col min="780" max="782" width="2.875" style="254" customWidth="1"/>
    <col min="783" max="783" width="3" style="254" customWidth="1"/>
    <col min="784" max="784" width="2.875" style="254" customWidth="1"/>
    <col min="785" max="785" width="2.125" style="254" customWidth="1"/>
    <col min="786" max="787" width="2.75" style="254" customWidth="1"/>
    <col min="788" max="789" width="2.125" style="254" customWidth="1"/>
    <col min="790" max="827" width="2.875" style="254" customWidth="1"/>
    <col min="828" max="1024" width="9" style="254" customWidth="1"/>
    <col min="1025" max="1026" width="1.75" style="254" customWidth="1"/>
    <col min="1027" max="1027" width="2.875" style="254" customWidth="1"/>
    <col min="1028" max="1028" width="3" style="254" customWidth="1"/>
    <col min="1029" max="1030" width="3.625" style="254" customWidth="1"/>
    <col min="1031" max="1031" width="3.25" style="254" customWidth="1"/>
    <col min="1032" max="1032" width="1.375" style="254" customWidth="1"/>
    <col min="1033" max="1033" width="2.125" style="254" customWidth="1"/>
    <col min="1034" max="1035" width="3" style="254" customWidth="1"/>
    <col min="1036" max="1038" width="2.875" style="254" customWidth="1"/>
    <col min="1039" max="1039" width="3" style="254" customWidth="1"/>
    <col min="1040" max="1040" width="2.875" style="254" customWidth="1"/>
    <col min="1041" max="1041" width="2.125" style="254" customWidth="1"/>
    <col min="1042" max="1043" width="2.75" style="254" customWidth="1"/>
    <col min="1044" max="1045" width="2.125" style="254" customWidth="1"/>
    <col min="1046" max="1083" width="2.875" style="254" customWidth="1"/>
    <col min="1084" max="1280" width="9" style="254" customWidth="1"/>
    <col min="1281" max="1282" width="1.75" style="254" customWidth="1"/>
    <col min="1283" max="1283" width="2.875" style="254" customWidth="1"/>
    <col min="1284" max="1284" width="3" style="254" customWidth="1"/>
    <col min="1285" max="1286" width="3.625" style="254" customWidth="1"/>
    <col min="1287" max="1287" width="3.25" style="254" customWidth="1"/>
    <col min="1288" max="1288" width="1.375" style="254" customWidth="1"/>
    <col min="1289" max="1289" width="2.125" style="254" customWidth="1"/>
    <col min="1290" max="1291" width="3" style="254" customWidth="1"/>
    <col min="1292" max="1294" width="2.875" style="254" customWidth="1"/>
    <col min="1295" max="1295" width="3" style="254" customWidth="1"/>
    <col min="1296" max="1296" width="2.875" style="254" customWidth="1"/>
    <col min="1297" max="1297" width="2.125" style="254" customWidth="1"/>
    <col min="1298" max="1299" width="2.75" style="254" customWidth="1"/>
    <col min="1300" max="1301" width="2.125" style="254" customWidth="1"/>
    <col min="1302" max="1339" width="2.875" style="254" customWidth="1"/>
    <col min="1340" max="1536" width="9" style="254" customWidth="1"/>
    <col min="1537" max="1538" width="1.75" style="254" customWidth="1"/>
    <col min="1539" max="1539" width="2.875" style="254" customWidth="1"/>
    <col min="1540" max="1540" width="3" style="254" customWidth="1"/>
    <col min="1541" max="1542" width="3.625" style="254" customWidth="1"/>
    <col min="1543" max="1543" width="3.25" style="254" customWidth="1"/>
    <col min="1544" max="1544" width="1.375" style="254" customWidth="1"/>
    <col min="1545" max="1545" width="2.125" style="254" customWidth="1"/>
    <col min="1546" max="1547" width="3" style="254" customWidth="1"/>
    <col min="1548" max="1550" width="2.875" style="254" customWidth="1"/>
    <col min="1551" max="1551" width="3" style="254" customWidth="1"/>
    <col min="1552" max="1552" width="2.875" style="254" customWidth="1"/>
    <col min="1553" max="1553" width="2.125" style="254" customWidth="1"/>
    <col min="1554" max="1555" width="2.75" style="254" customWidth="1"/>
    <col min="1556" max="1557" width="2.125" style="254" customWidth="1"/>
    <col min="1558" max="1595" width="2.875" style="254" customWidth="1"/>
    <col min="1596" max="1792" width="9" style="254" customWidth="1"/>
    <col min="1793" max="1794" width="1.75" style="254" customWidth="1"/>
    <col min="1795" max="1795" width="2.875" style="254" customWidth="1"/>
    <col min="1796" max="1796" width="3" style="254" customWidth="1"/>
    <col min="1797" max="1798" width="3.625" style="254" customWidth="1"/>
    <col min="1799" max="1799" width="3.25" style="254" customWidth="1"/>
    <col min="1800" max="1800" width="1.375" style="254" customWidth="1"/>
    <col min="1801" max="1801" width="2.125" style="254" customWidth="1"/>
    <col min="1802" max="1803" width="3" style="254" customWidth="1"/>
    <col min="1804" max="1806" width="2.875" style="254" customWidth="1"/>
    <col min="1807" max="1807" width="3" style="254" customWidth="1"/>
    <col min="1808" max="1808" width="2.875" style="254" customWidth="1"/>
    <col min="1809" max="1809" width="2.125" style="254" customWidth="1"/>
    <col min="1810" max="1811" width="2.75" style="254" customWidth="1"/>
    <col min="1812" max="1813" width="2.125" style="254" customWidth="1"/>
    <col min="1814" max="1851" width="2.875" style="254" customWidth="1"/>
    <col min="1852" max="2048" width="9" style="254" customWidth="1"/>
    <col min="2049" max="2050" width="1.75" style="254" customWidth="1"/>
    <col min="2051" max="2051" width="2.875" style="254" customWidth="1"/>
    <col min="2052" max="2052" width="3" style="254" customWidth="1"/>
    <col min="2053" max="2054" width="3.625" style="254" customWidth="1"/>
    <col min="2055" max="2055" width="3.25" style="254" customWidth="1"/>
    <col min="2056" max="2056" width="1.375" style="254" customWidth="1"/>
    <col min="2057" max="2057" width="2.125" style="254" customWidth="1"/>
    <col min="2058" max="2059" width="3" style="254" customWidth="1"/>
    <col min="2060" max="2062" width="2.875" style="254" customWidth="1"/>
    <col min="2063" max="2063" width="3" style="254" customWidth="1"/>
    <col min="2064" max="2064" width="2.875" style="254" customWidth="1"/>
    <col min="2065" max="2065" width="2.125" style="254" customWidth="1"/>
    <col min="2066" max="2067" width="2.75" style="254" customWidth="1"/>
    <col min="2068" max="2069" width="2.125" style="254" customWidth="1"/>
    <col min="2070" max="2107" width="2.875" style="254" customWidth="1"/>
    <col min="2108" max="2304" width="9" style="254" customWidth="1"/>
    <col min="2305" max="2306" width="1.75" style="254" customWidth="1"/>
    <col min="2307" max="2307" width="2.875" style="254" customWidth="1"/>
    <col min="2308" max="2308" width="3" style="254" customWidth="1"/>
    <col min="2309" max="2310" width="3.625" style="254" customWidth="1"/>
    <col min="2311" max="2311" width="3.25" style="254" customWidth="1"/>
    <col min="2312" max="2312" width="1.375" style="254" customWidth="1"/>
    <col min="2313" max="2313" width="2.125" style="254" customWidth="1"/>
    <col min="2314" max="2315" width="3" style="254" customWidth="1"/>
    <col min="2316" max="2318" width="2.875" style="254" customWidth="1"/>
    <col min="2319" max="2319" width="3" style="254" customWidth="1"/>
    <col min="2320" max="2320" width="2.875" style="254" customWidth="1"/>
    <col min="2321" max="2321" width="2.125" style="254" customWidth="1"/>
    <col min="2322" max="2323" width="2.75" style="254" customWidth="1"/>
    <col min="2324" max="2325" width="2.125" style="254" customWidth="1"/>
    <col min="2326" max="2363" width="2.875" style="254" customWidth="1"/>
    <col min="2364" max="2560" width="9" style="254" customWidth="1"/>
    <col min="2561" max="2562" width="1.75" style="254" customWidth="1"/>
    <col min="2563" max="2563" width="2.875" style="254" customWidth="1"/>
    <col min="2564" max="2564" width="3" style="254" customWidth="1"/>
    <col min="2565" max="2566" width="3.625" style="254" customWidth="1"/>
    <col min="2567" max="2567" width="3.25" style="254" customWidth="1"/>
    <col min="2568" max="2568" width="1.375" style="254" customWidth="1"/>
    <col min="2569" max="2569" width="2.125" style="254" customWidth="1"/>
    <col min="2570" max="2571" width="3" style="254" customWidth="1"/>
    <col min="2572" max="2574" width="2.875" style="254" customWidth="1"/>
    <col min="2575" max="2575" width="3" style="254" customWidth="1"/>
    <col min="2576" max="2576" width="2.875" style="254" customWidth="1"/>
    <col min="2577" max="2577" width="2.125" style="254" customWidth="1"/>
    <col min="2578" max="2579" width="2.75" style="254" customWidth="1"/>
    <col min="2580" max="2581" width="2.125" style="254" customWidth="1"/>
    <col min="2582" max="2619" width="2.875" style="254" customWidth="1"/>
    <col min="2620" max="2816" width="9" style="254" customWidth="1"/>
    <col min="2817" max="2818" width="1.75" style="254" customWidth="1"/>
    <col min="2819" max="2819" width="2.875" style="254" customWidth="1"/>
    <col min="2820" max="2820" width="3" style="254" customWidth="1"/>
    <col min="2821" max="2822" width="3.625" style="254" customWidth="1"/>
    <col min="2823" max="2823" width="3.25" style="254" customWidth="1"/>
    <col min="2824" max="2824" width="1.375" style="254" customWidth="1"/>
    <col min="2825" max="2825" width="2.125" style="254" customWidth="1"/>
    <col min="2826" max="2827" width="3" style="254" customWidth="1"/>
    <col min="2828" max="2830" width="2.875" style="254" customWidth="1"/>
    <col min="2831" max="2831" width="3" style="254" customWidth="1"/>
    <col min="2832" max="2832" width="2.875" style="254" customWidth="1"/>
    <col min="2833" max="2833" width="2.125" style="254" customWidth="1"/>
    <col min="2834" max="2835" width="2.75" style="254" customWidth="1"/>
    <col min="2836" max="2837" width="2.125" style="254" customWidth="1"/>
    <col min="2838" max="2875" width="2.875" style="254" customWidth="1"/>
    <col min="2876" max="3072" width="9" style="254" customWidth="1"/>
    <col min="3073" max="3074" width="1.75" style="254" customWidth="1"/>
    <col min="3075" max="3075" width="2.875" style="254" customWidth="1"/>
    <col min="3076" max="3076" width="3" style="254" customWidth="1"/>
    <col min="3077" max="3078" width="3.625" style="254" customWidth="1"/>
    <col min="3079" max="3079" width="3.25" style="254" customWidth="1"/>
    <col min="3080" max="3080" width="1.375" style="254" customWidth="1"/>
    <col min="3081" max="3081" width="2.125" style="254" customWidth="1"/>
    <col min="3082" max="3083" width="3" style="254" customWidth="1"/>
    <col min="3084" max="3086" width="2.875" style="254" customWidth="1"/>
    <col min="3087" max="3087" width="3" style="254" customWidth="1"/>
    <col min="3088" max="3088" width="2.875" style="254" customWidth="1"/>
    <col min="3089" max="3089" width="2.125" style="254" customWidth="1"/>
    <col min="3090" max="3091" width="2.75" style="254" customWidth="1"/>
    <col min="3092" max="3093" width="2.125" style="254" customWidth="1"/>
    <col min="3094" max="3131" width="2.875" style="254" customWidth="1"/>
    <col min="3132" max="3328" width="9" style="254" customWidth="1"/>
    <col min="3329" max="3330" width="1.75" style="254" customWidth="1"/>
    <col min="3331" max="3331" width="2.875" style="254" customWidth="1"/>
    <col min="3332" max="3332" width="3" style="254" customWidth="1"/>
    <col min="3333" max="3334" width="3.625" style="254" customWidth="1"/>
    <col min="3335" max="3335" width="3.25" style="254" customWidth="1"/>
    <col min="3336" max="3336" width="1.375" style="254" customWidth="1"/>
    <col min="3337" max="3337" width="2.125" style="254" customWidth="1"/>
    <col min="3338" max="3339" width="3" style="254" customWidth="1"/>
    <col min="3340" max="3342" width="2.875" style="254" customWidth="1"/>
    <col min="3343" max="3343" width="3" style="254" customWidth="1"/>
    <col min="3344" max="3344" width="2.875" style="254" customWidth="1"/>
    <col min="3345" max="3345" width="2.125" style="254" customWidth="1"/>
    <col min="3346" max="3347" width="2.75" style="254" customWidth="1"/>
    <col min="3348" max="3349" width="2.125" style="254" customWidth="1"/>
    <col min="3350" max="3387" width="2.875" style="254" customWidth="1"/>
    <col min="3388" max="3584" width="9" style="254" customWidth="1"/>
    <col min="3585" max="3586" width="1.75" style="254" customWidth="1"/>
    <col min="3587" max="3587" width="2.875" style="254" customWidth="1"/>
    <col min="3588" max="3588" width="3" style="254" customWidth="1"/>
    <col min="3589" max="3590" width="3.625" style="254" customWidth="1"/>
    <col min="3591" max="3591" width="3.25" style="254" customWidth="1"/>
    <col min="3592" max="3592" width="1.375" style="254" customWidth="1"/>
    <col min="3593" max="3593" width="2.125" style="254" customWidth="1"/>
    <col min="3594" max="3595" width="3" style="254" customWidth="1"/>
    <col min="3596" max="3598" width="2.875" style="254" customWidth="1"/>
    <col min="3599" max="3599" width="3" style="254" customWidth="1"/>
    <col min="3600" max="3600" width="2.875" style="254" customWidth="1"/>
    <col min="3601" max="3601" width="2.125" style="254" customWidth="1"/>
    <col min="3602" max="3603" width="2.75" style="254" customWidth="1"/>
    <col min="3604" max="3605" width="2.125" style="254" customWidth="1"/>
    <col min="3606" max="3643" width="2.875" style="254" customWidth="1"/>
    <col min="3644" max="3840" width="9" style="254" customWidth="1"/>
    <col min="3841" max="3842" width="1.75" style="254" customWidth="1"/>
    <col min="3843" max="3843" width="2.875" style="254" customWidth="1"/>
    <col min="3844" max="3844" width="3" style="254" customWidth="1"/>
    <col min="3845" max="3846" width="3.625" style="254" customWidth="1"/>
    <col min="3847" max="3847" width="3.25" style="254" customWidth="1"/>
    <col min="3848" max="3848" width="1.375" style="254" customWidth="1"/>
    <col min="3849" max="3849" width="2.125" style="254" customWidth="1"/>
    <col min="3850" max="3851" width="3" style="254" customWidth="1"/>
    <col min="3852" max="3854" width="2.875" style="254" customWidth="1"/>
    <col min="3855" max="3855" width="3" style="254" customWidth="1"/>
    <col min="3856" max="3856" width="2.875" style="254" customWidth="1"/>
    <col min="3857" max="3857" width="2.125" style="254" customWidth="1"/>
    <col min="3858" max="3859" width="2.75" style="254" customWidth="1"/>
    <col min="3860" max="3861" width="2.125" style="254" customWidth="1"/>
    <col min="3862" max="3899" width="2.875" style="254" customWidth="1"/>
    <col min="3900" max="4096" width="9" style="254" customWidth="1"/>
    <col min="4097" max="4098" width="1.75" style="254" customWidth="1"/>
    <col min="4099" max="4099" width="2.875" style="254" customWidth="1"/>
    <col min="4100" max="4100" width="3" style="254" customWidth="1"/>
    <col min="4101" max="4102" width="3.625" style="254" customWidth="1"/>
    <col min="4103" max="4103" width="3.25" style="254" customWidth="1"/>
    <col min="4104" max="4104" width="1.375" style="254" customWidth="1"/>
    <col min="4105" max="4105" width="2.125" style="254" customWidth="1"/>
    <col min="4106" max="4107" width="3" style="254" customWidth="1"/>
    <col min="4108" max="4110" width="2.875" style="254" customWidth="1"/>
    <col min="4111" max="4111" width="3" style="254" customWidth="1"/>
    <col min="4112" max="4112" width="2.875" style="254" customWidth="1"/>
    <col min="4113" max="4113" width="2.125" style="254" customWidth="1"/>
    <col min="4114" max="4115" width="2.75" style="254" customWidth="1"/>
    <col min="4116" max="4117" width="2.125" style="254" customWidth="1"/>
    <col min="4118" max="4155" width="2.875" style="254" customWidth="1"/>
    <col min="4156" max="4352" width="9" style="254" customWidth="1"/>
    <col min="4353" max="4354" width="1.75" style="254" customWidth="1"/>
    <col min="4355" max="4355" width="2.875" style="254" customWidth="1"/>
    <col min="4356" max="4356" width="3" style="254" customWidth="1"/>
    <col min="4357" max="4358" width="3.625" style="254" customWidth="1"/>
    <col min="4359" max="4359" width="3.25" style="254" customWidth="1"/>
    <col min="4360" max="4360" width="1.375" style="254" customWidth="1"/>
    <col min="4361" max="4361" width="2.125" style="254" customWidth="1"/>
    <col min="4362" max="4363" width="3" style="254" customWidth="1"/>
    <col min="4364" max="4366" width="2.875" style="254" customWidth="1"/>
    <col min="4367" max="4367" width="3" style="254" customWidth="1"/>
    <col min="4368" max="4368" width="2.875" style="254" customWidth="1"/>
    <col min="4369" max="4369" width="2.125" style="254" customWidth="1"/>
    <col min="4370" max="4371" width="2.75" style="254" customWidth="1"/>
    <col min="4372" max="4373" width="2.125" style="254" customWidth="1"/>
    <col min="4374" max="4411" width="2.875" style="254" customWidth="1"/>
    <col min="4412" max="4608" width="9" style="254" customWidth="1"/>
    <col min="4609" max="4610" width="1.75" style="254" customWidth="1"/>
    <col min="4611" max="4611" width="2.875" style="254" customWidth="1"/>
    <col min="4612" max="4612" width="3" style="254" customWidth="1"/>
    <col min="4613" max="4614" width="3.625" style="254" customWidth="1"/>
    <col min="4615" max="4615" width="3.25" style="254" customWidth="1"/>
    <col min="4616" max="4616" width="1.375" style="254" customWidth="1"/>
    <col min="4617" max="4617" width="2.125" style="254" customWidth="1"/>
    <col min="4618" max="4619" width="3" style="254" customWidth="1"/>
    <col min="4620" max="4622" width="2.875" style="254" customWidth="1"/>
    <col min="4623" max="4623" width="3" style="254" customWidth="1"/>
    <col min="4624" max="4624" width="2.875" style="254" customWidth="1"/>
    <col min="4625" max="4625" width="2.125" style="254" customWidth="1"/>
    <col min="4626" max="4627" width="2.75" style="254" customWidth="1"/>
    <col min="4628" max="4629" width="2.125" style="254" customWidth="1"/>
    <col min="4630" max="4667" width="2.875" style="254" customWidth="1"/>
    <col min="4668" max="4864" width="9" style="254" customWidth="1"/>
    <col min="4865" max="4866" width="1.75" style="254" customWidth="1"/>
    <col min="4867" max="4867" width="2.875" style="254" customWidth="1"/>
    <col min="4868" max="4868" width="3" style="254" customWidth="1"/>
    <col min="4869" max="4870" width="3.625" style="254" customWidth="1"/>
    <col min="4871" max="4871" width="3.25" style="254" customWidth="1"/>
    <col min="4872" max="4872" width="1.375" style="254" customWidth="1"/>
    <col min="4873" max="4873" width="2.125" style="254" customWidth="1"/>
    <col min="4874" max="4875" width="3" style="254" customWidth="1"/>
    <col min="4876" max="4878" width="2.875" style="254" customWidth="1"/>
    <col min="4879" max="4879" width="3" style="254" customWidth="1"/>
    <col min="4880" max="4880" width="2.875" style="254" customWidth="1"/>
    <col min="4881" max="4881" width="2.125" style="254" customWidth="1"/>
    <col min="4882" max="4883" width="2.75" style="254" customWidth="1"/>
    <col min="4884" max="4885" width="2.125" style="254" customWidth="1"/>
    <col min="4886" max="4923" width="2.875" style="254" customWidth="1"/>
    <col min="4924" max="5120" width="9" style="254" customWidth="1"/>
    <col min="5121" max="5122" width="1.75" style="254" customWidth="1"/>
    <col min="5123" max="5123" width="2.875" style="254" customWidth="1"/>
    <col min="5124" max="5124" width="3" style="254" customWidth="1"/>
    <col min="5125" max="5126" width="3.625" style="254" customWidth="1"/>
    <col min="5127" max="5127" width="3.25" style="254" customWidth="1"/>
    <col min="5128" max="5128" width="1.375" style="254" customWidth="1"/>
    <col min="5129" max="5129" width="2.125" style="254" customWidth="1"/>
    <col min="5130" max="5131" width="3" style="254" customWidth="1"/>
    <col min="5132" max="5134" width="2.875" style="254" customWidth="1"/>
    <col min="5135" max="5135" width="3" style="254" customWidth="1"/>
    <col min="5136" max="5136" width="2.875" style="254" customWidth="1"/>
    <col min="5137" max="5137" width="2.125" style="254" customWidth="1"/>
    <col min="5138" max="5139" width="2.75" style="254" customWidth="1"/>
    <col min="5140" max="5141" width="2.125" style="254" customWidth="1"/>
    <col min="5142" max="5179" width="2.875" style="254" customWidth="1"/>
    <col min="5180" max="5376" width="9" style="254" customWidth="1"/>
    <col min="5377" max="5378" width="1.75" style="254" customWidth="1"/>
    <col min="5379" max="5379" width="2.875" style="254" customWidth="1"/>
    <col min="5380" max="5380" width="3" style="254" customWidth="1"/>
    <col min="5381" max="5382" width="3.625" style="254" customWidth="1"/>
    <col min="5383" max="5383" width="3.25" style="254" customWidth="1"/>
    <col min="5384" max="5384" width="1.375" style="254" customWidth="1"/>
    <col min="5385" max="5385" width="2.125" style="254" customWidth="1"/>
    <col min="5386" max="5387" width="3" style="254" customWidth="1"/>
    <col min="5388" max="5390" width="2.875" style="254" customWidth="1"/>
    <col min="5391" max="5391" width="3" style="254" customWidth="1"/>
    <col min="5392" max="5392" width="2.875" style="254" customWidth="1"/>
    <col min="5393" max="5393" width="2.125" style="254" customWidth="1"/>
    <col min="5394" max="5395" width="2.75" style="254" customWidth="1"/>
    <col min="5396" max="5397" width="2.125" style="254" customWidth="1"/>
    <col min="5398" max="5435" width="2.875" style="254" customWidth="1"/>
    <col min="5436" max="5632" width="9" style="254" customWidth="1"/>
    <col min="5633" max="5634" width="1.75" style="254" customWidth="1"/>
    <col min="5635" max="5635" width="2.875" style="254" customWidth="1"/>
    <col min="5636" max="5636" width="3" style="254" customWidth="1"/>
    <col min="5637" max="5638" width="3.625" style="254" customWidth="1"/>
    <col min="5639" max="5639" width="3.25" style="254" customWidth="1"/>
    <col min="5640" max="5640" width="1.375" style="254" customWidth="1"/>
    <col min="5641" max="5641" width="2.125" style="254" customWidth="1"/>
    <col min="5642" max="5643" width="3" style="254" customWidth="1"/>
    <col min="5644" max="5646" width="2.875" style="254" customWidth="1"/>
    <col min="5647" max="5647" width="3" style="254" customWidth="1"/>
    <col min="5648" max="5648" width="2.875" style="254" customWidth="1"/>
    <col min="5649" max="5649" width="2.125" style="254" customWidth="1"/>
    <col min="5650" max="5651" width="2.75" style="254" customWidth="1"/>
    <col min="5652" max="5653" width="2.125" style="254" customWidth="1"/>
    <col min="5654" max="5691" width="2.875" style="254" customWidth="1"/>
    <col min="5692" max="5888" width="9" style="254" customWidth="1"/>
    <col min="5889" max="5890" width="1.75" style="254" customWidth="1"/>
    <col min="5891" max="5891" width="2.875" style="254" customWidth="1"/>
    <col min="5892" max="5892" width="3" style="254" customWidth="1"/>
    <col min="5893" max="5894" width="3.625" style="254" customWidth="1"/>
    <col min="5895" max="5895" width="3.25" style="254" customWidth="1"/>
    <col min="5896" max="5896" width="1.375" style="254" customWidth="1"/>
    <col min="5897" max="5897" width="2.125" style="254" customWidth="1"/>
    <col min="5898" max="5899" width="3" style="254" customWidth="1"/>
    <col min="5900" max="5902" width="2.875" style="254" customWidth="1"/>
    <col min="5903" max="5903" width="3" style="254" customWidth="1"/>
    <col min="5904" max="5904" width="2.875" style="254" customWidth="1"/>
    <col min="5905" max="5905" width="2.125" style="254" customWidth="1"/>
    <col min="5906" max="5907" width="2.75" style="254" customWidth="1"/>
    <col min="5908" max="5909" width="2.125" style="254" customWidth="1"/>
    <col min="5910" max="5947" width="2.875" style="254" customWidth="1"/>
    <col min="5948" max="6144" width="9" style="254" customWidth="1"/>
    <col min="6145" max="6146" width="1.75" style="254" customWidth="1"/>
    <col min="6147" max="6147" width="2.875" style="254" customWidth="1"/>
    <col min="6148" max="6148" width="3" style="254" customWidth="1"/>
    <col min="6149" max="6150" width="3.625" style="254" customWidth="1"/>
    <col min="6151" max="6151" width="3.25" style="254" customWidth="1"/>
    <col min="6152" max="6152" width="1.375" style="254" customWidth="1"/>
    <col min="6153" max="6153" width="2.125" style="254" customWidth="1"/>
    <col min="6154" max="6155" width="3" style="254" customWidth="1"/>
    <col min="6156" max="6158" width="2.875" style="254" customWidth="1"/>
    <col min="6159" max="6159" width="3" style="254" customWidth="1"/>
    <col min="6160" max="6160" width="2.875" style="254" customWidth="1"/>
    <col min="6161" max="6161" width="2.125" style="254" customWidth="1"/>
    <col min="6162" max="6163" width="2.75" style="254" customWidth="1"/>
    <col min="6164" max="6165" width="2.125" style="254" customWidth="1"/>
    <col min="6166" max="6203" width="2.875" style="254" customWidth="1"/>
    <col min="6204" max="6400" width="9" style="254" customWidth="1"/>
    <col min="6401" max="6402" width="1.75" style="254" customWidth="1"/>
    <col min="6403" max="6403" width="2.875" style="254" customWidth="1"/>
    <col min="6404" max="6404" width="3" style="254" customWidth="1"/>
    <col min="6405" max="6406" width="3.625" style="254" customWidth="1"/>
    <col min="6407" max="6407" width="3.25" style="254" customWidth="1"/>
    <col min="6408" max="6408" width="1.375" style="254" customWidth="1"/>
    <col min="6409" max="6409" width="2.125" style="254" customWidth="1"/>
    <col min="6410" max="6411" width="3" style="254" customWidth="1"/>
    <col min="6412" max="6414" width="2.875" style="254" customWidth="1"/>
    <col min="6415" max="6415" width="3" style="254" customWidth="1"/>
    <col min="6416" max="6416" width="2.875" style="254" customWidth="1"/>
    <col min="6417" max="6417" width="2.125" style="254" customWidth="1"/>
    <col min="6418" max="6419" width="2.75" style="254" customWidth="1"/>
    <col min="6420" max="6421" width="2.125" style="254" customWidth="1"/>
    <col min="6422" max="6459" width="2.875" style="254" customWidth="1"/>
    <col min="6460" max="6656" width="9" style="254" customWidth="1"/>
    <col min="6657" max="6658" width="1.75" style="254" customWidth="1"/>
    <col min="6659" max="6659" width="2.875" style="254" customWidth="1"/>
    <col min="6660" max="6660" width="3" style="254" customWidth="1"/>
    <col min="6661" max="6662" width="3.625" style="254" customWidth="1"/>
    <col min="6663" max="6663" width="3.25" style="254" customWidth="1"/>
    <col min="6664" max="6664" width="1.375" style="254" customWidth="1"/>
    <col min="6665" max="6665" width="2.125" style="254" customWidth="1"/>
    <col min="6666" max="6667" width="3" style="254" customWidth="1"/>
    <col min="6668" max="6670" width="2.875" style="254" customWidth="1"/>
    <col min="6671" max="6671" width="3" style="254" customWidth="1"/>
    <col min="6672" max="6672" width="2.875" style="254" customWidth="1"/>
    <col min="6673" max="6673" width="2.125" style="254" customWidth="1"/>
    <col min="6674" max="6675" width="2.75" style="254" customWidth="1"/>
    <col min="6676" max="6677" width="2.125" style="254" customWidth="1"/>
    <col min="6678" max="6715" width="2.875" style="254" customWidth="1"/>
    <col min="6716" max="6912" width="9" style="254" customWidth="1"/>
    <col min="6913" max="6914" width="1.75" style="254" customWidth="1"/>
    <col min="6915" max="6915" width="2.875" style="254" customWidth="1"/>
    <col min="6916" max="6916" width="3" style="254" customWidth="1"/>
    <col min="6917" max="6918" width="3.625" style="254" customWidth="1"/>
    <col min="6919" max="6919" width="3.25" style="254" customWidth="1"/>
    <col min="6920" max="6920" width="1.375" style="254" customWidth="1"/>
    <col min="6921" max="6921" width="2.125" style="254" customWidth="1"/>
    <col min="6922" max="6923" width="3" style="254" customWidth="1"/>
    <col min="6924" max="6926" width="2.875" style="254" customWidth="1"/>
    <col min="6927" max="6927" width="3" style="254" customWidth="1"/>
    <col min="6928" max="6928" width="2.875" style="254" customWidth="1"/>
    <col min="6929" max="6929" width="2.125" style="254" customWidth="1"/>
    <col min="6930" max="6931" width="2.75" style="254" customWidth="1"/>
    <col min="6932" max="6933" width="2.125" style="254" customWidth="1"/>
    <col min="6934" max="6971" width="2.875" style="254" customWidth="1"/>
    <col min="6972" max="7168" width="9" style="254" customWidth="1"/>
    <col min="7169" max="7170" width="1.75" style="254" customWidth="1"/>
    <col min="7171" max="7171" width="2.875" style="254" customWidth="1"/>
    <col min="7172" max="7172" width="3" style="254" customWidth="1"/>
    <col min="7173" max="7174" width="3.625" style="254" customWidth="1"/>
    <col min="7175" max="7175" width="3.25" style="254" customWidth="1"/>
    <col min="7176" max="7176" width="1.375" style="254" customWidth="1"/>
    <col min="7177" max="7177" width="2.125" style="254" customWidth="1"/>
    <col min="7178" max="7179" width="3" style="254" customWidth="1"/>
    <col min="7180" max="7182" width="2.875" style="254" customWidth="1"/>
    <col min="7183" max="7183" width="3" style="254" customWidth="1"/>
    <col min="7184" max="7184" width="2.875" style="254" customWidth="1"/>
    <col min="7185" max="7185" width="2.125" style="254" customWidth="1"/>
    <col min="7186" max="7187" width="2.75" style="254" customWidth="1"/>
    <col min="7188" max="7189" width="2.125" style="254" customWidth="1"/>
    <col min="7190" max="7227" width="2.875" style="254" customWidth="1"/>
    <col min="7228" max="7424" width="9" style="254" customWidth="1"/>
    <col min="7425" max="7426" width="1.75" style="254" customWidth="1"/>
    <col min="7427" max="7427" width="2.875" style="254" customWidth="1"/>
    <col min="7428" max="7428" width="3" style="254" customWidth="1"/>
    <col min="7429" max="7430" width="3.625" style="254" customWidth="1"/>
    <col min="7431" max="7431" width="3.25" style="254" customWidth="1"/>
    <col min="7432" max="7432" width="1.375" style="254" customWidth="1"/>
    <col min="7433" max="7433" width="2.125" style="254" customWidth="1"/>
    <col min="7434" max="7435" width="3" style="254" customWidth="1"/>
    <col min="7436" max="7438" width="2.875" style="254" customWidth="1"/>
    <col min="7439" max="7439" width="3" style="254" customWidth="1"/>
    <col min="7440" max="7440" width="2.875" style="254" customWidth="1"/>
    <col min="7441" max="7441" width="2.125" style="254" customWidth="1"/>
    <col min="7442" max="7443" width="2.75" style="254" customWidth="1"/>
    <col min="7444" max="7445" width="2.125" style="254" customWidth="1"/>
    <col min="7446" max="7483" width="2.875" style="254" customWidth="1"/>
    <col min="7484" max="7680" width="9" style="254" customWidth="1"/>
    <col min="7681" max="7682" width="1.75" style="254" customWidth="1"/>
    <col min="7683" max="7683" width="2.875" style="254" customWidth="1"/>
    <col min="7684" max="7684" width="3" style="254" customWidth="1"/>
    <col min="7685" max="7686" width="3.625" style="254" customWidth="1"/>
    <col min="7687" max="7687" width="3.25" style="254" customWidth="1"/>
    <col min="7688" max="7688" width="1.375" style="254" customWidth="1"/>
    <col min="7689" max="7689" width="2.125" style="254" customWidth="1"/>
    <col min="7690" max="7691" width="3" style="254" customWidth="1"/>
    <col min="7692" max="7694" width="2.875" style="254" customWidth="1"/>
    <col min="7695" max="7695" width="3" style="254" customWidth="1"/>
    <col min="7696" max="7696" width="2.875" style="254" customWidth="1"/>
    <col min="7697" max="7697" width="2.125" style="254" customWidth="1"/>
    <col min="7698" max="7699" width="2.75" style="254" customWidth="1"/>
    <col min="7700" max="7701" width="2.125" style="254" customWidth="1"/>
    <col min="7702" max="7739" width="2.875" style="254" customWidth="1"/>
    <col min="7740" max="7936" width="9" style="254" customWidth="1"/>
    <col min="7937" max="7938" width="1.75" style="254" customWidth="1"/>
    <col min="7939" max="7939" width="2.875" style="254" customWidth="1"/>
    <col min="7940" max="7940" width="3" style="254" customWidth="1"/>
    <col min="7941" max="7942" width="3.625" style="254" customWidth="1"/>
    <col min="7943" max="7943" width="3.25" style="254" customWidth="1"/>
    <col min="7944" max="7944" width="1.375" style="254" customWidth="1"/>
    <col min="7945" max="7945" width="2.125" style="254" customWidth="1"/>
    <col min="7946" max="7947" width="3" style="254" customWidth="1"/>
    <col min="7948" max="7950" width="2.875" style="254" customWidth="1"/>
    <col min="7951" max="7951" width="3" style="254" customWidth="1"/>
    <col min="7952" max="7952" width="2.875" style="254" customWidth="1"/>
    <col min="7953" max="7953" width="2.125" style="254" customWidth="1"/>
    <col min="7954" max="7955" width="2.75" style="254" customWidth="1"/>
    <col min="7956" max="7957" width="2.125" style="254" customWidth="1"/>
    <col min="7958" max="7995" width="2.875" style="254" customWidth="1"/>
    <col min="7996" max="8192" width="9" style="254" customWidth="1"/>
    <col min="8193" max="8194" width="1.75" style="254" customWidth="1"/>
    <col min="8195" max="8195" width="2.875" style="254" customWidth="1"/>
    <col min="8196" max="8196" width="3" style="254" customWidth="1"/>
    <col min="8197" max="8198" width="3.625" style="254" customWidth="1"/>
    <col min="8199" max="8199" width="3.25" style="254" customWidth="1"/>
    <col min="8200" max="8200" width="1.375" style="254" customWidth="1"/>
    <col min="8201" max="8201" width="2.125" style="254" customWidth="1"/>
    <col min="8202" max="8203" width="3" style="254" customWidth="1"/>
    <col min="8204" max="8206" width="2.875" style="254" customWidth="1"/>
    <col min="8207" max="8207" width="3" style="254" customWidth="1"/>
    <col min="8208" max="8208" width="2.875" style="254" customWidth="1"/>
    <col min="8209" max="8209" width="2.125" style="254" customWidth="1"/>
    <col min="8210" max="8211" width="2.75" style="254" customWidth="1"/>
    <col min="8212" max="8213" width="2.125" style="254" customWidth="1"/>
    <col min="8214" max="8251" width="2.875" style="254" customWidth="1"/>
    <col min="8252" max="8448" width="9" style="254" customWidth="1"/>
    <col min="8449" max="8450" width="1.75" style="254" customWidth="1"/>
    <col min="8451" max="8451" width="2.875" style="254" customWidth="1"/>
    <col min="8452" max="8452" width="3" style="254" customWidth="1"/>
    <col min="8453" max="8454" width="3.625" style="254" customWidth="1"/>
    <col min="8455" max="8455" width="3.25" style="254" customWidth="1"/>
    <col min="8456" max="8456" width="1.375" style="254" customWidth="1"/>
    <col min="8457" max="8457" width="2.125" style="254" customWidth="1"/>
    <col min="8458" max="8459" width="3" style="254" customWidth="1"/>
    <col min="8460" max="8462" width="2.875" style="254" customWidth="1"/>
    <col min="8463" max="8463" width="3" style="254" customWidth="1"/>
    <col min="8464" max="8464" width="2.875" style="254" customWidth="1"/>
    <col min="8465" max="8465" width="2.125" style="254" customWidth="1"/>
    <col min="8466" max="8467" width="2.75" style="254" customWidth="1"/>
    <col min="8468" max="8469" width="2.125" style="254" customWidth="1"/>
    <col min="8470" max="8507" width="2.875" style="254" customWidth="1"/>
    <col min="8508" max="8704" width="9" style="254" customWidth="1"/>
    <col min="8705" max="8706" width="1.75" style="254" customWidth="1"/>
    <col min="8707" max="8707" width="2.875" style="254" customWidth="1"/>
    <col min="8708" max="8708" width="3" style="254" customWidth="1"/>
    <col min="8709" max="8710" width="3.625" style="254" customWidth="1"/>
    <col min="8711" max="8711" width="3.25" style="254" customWidth="1"/>
    <col min="8712" max="8712" width="1.375" style="254" customWidth="1"/>
    <col min="8713" max="8713" width="2.125" style="254" customWidth="1"/>
    <col min="8714" max="8715" width="3" style="254" customWidth="1"/>
    <col min="8716" max="8718" width="2.875" style="254" customWidth="1"/>
    <col min="8719" max="8719" width="3" style="254" customWidth="1"/>
    <col min="8720" max="8720" width="2.875" style="254" customWidth="1"/>
    <col min="8721" max="8721" width="2.125" style="254" customWidth="1"/>
    <col min="8722" max="8723" width="2.75" style="254" customWidth="1"/>
    <col min="8724" max="8725" width="2.125" style="254" customWidth="1"/>
    <col min="8726" max="8763" width="2.875" style="254" customWidth="1"/>
    <col min="8764" max="8960" width="9" style="254" customWidth="1"/>
    <col min="8961" max="8962" width="1.75" style="254" customWidth="1"/>
    <col min="8963" max="8963" width="2.875" style="254" customWidth="1"/>
    <col min="8964" max="8964" width="3" style="254" customWidth="1"/>
    <col min="8965" max="8966" width="3.625" style="254" customWidth="1"/>
    <col min="8967" max="8967" width="3.25" style="254" customWidth="1"/>
    <col min="8968" max="8968" width="1.375" style="254" customWidth="1"/>
    <col min="8969" max="8969" width="2.125" style="254" customWidth="1"/>
    <col min="8970" max="8971" width="3" style="254" customWidth="1"/>
    <col min="8972" max="8974" width="2.875" style="254" customWidth="1"/>
    <col min="8975" max="8975" width="3" style="254" customWidth="1"/>
    <col min="8976" max="8976" width="2.875" style="254" customWidth="1"/>
    <col min="8977" max="8977" width="2.125" style="254" customWidth="1"/>
    <col min="8978" max="8979" width="2.75" style="254" customWidth="1"/>
    <col min="8980" max="8981" width="2.125" style="254" customWidth="1"/>
    <col min="8982" max="9019" width="2.875" style="254" customWidth="1"/>
    <col min="9020" max="9216" width="9" style="254" customWidth="1"/>
    <col min="9217" max="9218" width="1.75" style="254" customWidth="1"/>
    <col min="9219" max="9219" width="2.875" style="254" customWidth="1"/>
    <col min="9220" max="9220" width="3" style="254" customWidth="1"/>
    <col min="9221" max="9222" width="3.625" style="254" customWidth="1"/>
    <col min="9223" max="9223" width="3.25" style="254" customWidth="1"/>
    <col min="9224" max="9224" width="1.375" style="254" customWidth="1"/>
    <col min="9225" max="9225" width="2.125" style="254" customWidth="1"/>
    <col min="9226" max="9227" width="3" style="254" customWidth="1"/>
    <col min="9228" max="9230" width="2.875" style="254" customWidth="1"/>
    <col min="9231" max="9231" width="3" style="254" customWidth="1"/>
    <col min="9232" max="9232" width="2.875" style="254" customWidth="1"/>
    <col min="9233" max="9233" width="2.125" style="254" customWidth="1"/>
    <col min="9234" max="9235" width="2.75" style="254" customWidth="1"/>
    <col min="9236" max="9237" width="2.125" style="254" customWidth="1"/>
    <col min="9238" max="9275" width="2.875" style="254" customWidth="1"/>
    <col min="9276" max="9472" width="9" style="254" customWidth="1"/>
    <col min="9473" max="9474" width="1.75" style="254" customWidth="1"/>
    <col min="9475" max="9475" width="2.875" style="254" customWidth="1"/>
    <col min="9476" max="9476" width="3" style="254" customWidth="1"/>
    <col min="9477" max="9478" width="3.625" style="254" customWidth="1"/>
    <col min="9479" max="9479" width="3.25" style="254" customWidth="1"/>
    <col min="9480" max="9480" width="1.375" style="254" customWidth="1"/>
    <col min="9481" max="9481" width="2.125" style="254" customWidth="1"/>
    <col min="9482" max="9483" width="3" style="254" customWidth="1"/>
    <col min="9484" max="9486" width="2.875" style="254" customWidth="1"/>
    <col min="9487" max="9487" width="3" style="254" customWidth="1"/>
    <col min="9488" max="9488" width="2.875" style="254" customWidth="1"/>
    <col min="9489" max="9489" width="2.125" style="254" customWidth="1"/>
    <col min="9490" max="9491" width="2.75" style="254" customWidth="1"/>
    <col min="9492" max="9493" width="2.125" style="254" customWidth="1"/>
    <col min="9494" max="9531" width="2.875" style="254" customWidth="1"/>
    <col min="9532" max="9728" width="9" style="254" customWidth="1"/>
    <col min="9729" max="9730" width="1.75" style="254" customWidth="1"/>
    <col min="9731" max="9731" width="2.875" style="254" customWidth="1"/>
    <col min="9732" max="9732" width="3" style="254" customWidth="1"/>
    <col min="9733" max="9734" width="3.625" style="254" customWidth="1"/>
    <col min="9735" max="9735" width="3.25" style="254" customWidth="1"/>
    <col min="9736" max="9736" width="1.375" style="254" customWidth="1"/>
    <col min="9737" max="9737" width="2.125" style="254" customWidth="1"/>
    <col min="9738" max="9739" width="3" style="254" customWidth="1"/>
    <col min="9740" max="9742" width="2.875" style="254" customWidth="1"/>
    <col min="9743" max="9743" width="3" style="254" customWidth="1"/>
    <col min="9744" max="9744" width="2.875" style="254" customWidth="1"/>
    <col min="9745" max="9745" width="2.125" style="254" customWidth="1"/>
    <col min="9746" max="9747" width="2.75" style="254" customWidth="1"/>
    <col min="9748" max="9749" width="2.125" style="254" customWidth="1"/>
    <col min="9750" max="9787" width="2.875" style="254" customWidth="1"/>
    <col min="9788" max="9984" width="9" style="254" customWidth="1"/>
    <col min="9985" max="9986" width="1.75" style="254" customWidth="1"/>
    <col min="9987" max="9987" width="2.875" style="254" customWidth="1"/>
    <col min="9988" max="9988" width="3" style="254" customWidth="1"/>
    <col min="9989" max="9990" width="3.625" style="254" customWidth="1"/>
    <col min="9991" max="9991" width="3.25" style="254" customWidth="1"/>
    <col min="9992" max="9992" width="1.375" style="254" customWidth="1"/>
    <col min="9993" max="9993" width="2.125" style="254" customWidth="1"/>
    <col min="9994" max="9995" width="3" style="254" customWidth="1"/>
    <col min="9996" max="9998" width="2.875" style="254" customWidth="1"/>
    <col min="9999" max="9999" width="3" style="254" customWidth="1"/>
    <col min="10000" max="10000" width="2.875" style="254" customWidth="1"/>
    <col min="10001" max="10001" width="2.125" style="254" customWidth="1"/>
    <col min="10002" max="10003" width="2.75" style="254" customWidth="1"/>
    <col min="10004" max="10005" width="2.125" style="254" customWidth="1"/>
    <col min="10006" max="10043" width="2.875" style="254" customWidth="1"/>
    <col min="10044" max="10240" width="9" style="254" customWidth="1"/>
    <col min="10241" max="10242" width="1.75" style="254" customWidth="1"/>
    <col min="10243" max="10243" width="2.875" style="254" customWidth="1"/>
    <col min="10244" max="10244" width="3" style="254" customWidth="1"/>
    <col min="10245" max="10246" width="3.625" style="254" customWidth="1"/>
    <col min="10247" max="10247" width="3.25" style="254" customWidth="1"/>
    <col min="10248" max="10248" width="1.375" style="254" customWidth="1"/>
    <col min="10249" max="10249" width="2.125" style="254" customWidth="1"/>
    <col min="10250" max="10251" width="3" style="254" customWidth="1"/>
    <col min="10252" max="10254" width="2.875" style="254" customWidth="1"/>
    <col min="10255" max="10255" width="3" style="254" customWidth="1"/>
    <col min="10256" max="10256" width="2.875" style="254" customWidth="1"/>
    <col min="10257" max="10257" width="2.125" style="254" customWidth="1"/>
    <col min="10258" max="10259" width="2.75" style="254" customWidth="1"/>
    <col min="10260" max="10261" width="2.125" style="254" customWidth="1"/>
    <col min="10262" max="10299" width="2.875" style="254" customWidth="1"/>
    <col min="10300" max="10496" width="9" style="254" customWidth="1"/>
    <col min="10497" max="10498" width="1.75" style="254" customWidth="1"/>
    <col min="10499" max="10499" width="2.875" style="254" customWidth="1"/>
    <col min="10500" max="10500" width="3" style="254" customWidth="1"/>
    <col min="10501" max="10502" width="3.625" style="254" customWidth="1"/>
    <col min="10503" max="10503" width="3.25" style="254" customWidth="1"/>
    <col min="10504" max="10504" width="1.375" style="254" customWidth="1"/>
    <col min="10505" max="10505" width="2.125" style="254" customWidth="1"/>
    <col min="10506" max="10507" width="3" style="254" customWidth="1"/>
    <col min="10508" max="10510" width="2.875" style="254" customWidth="1"/>
    <col min="10511" max="10511" width="3" style="254" customWidth="1"/>
    <col min="10512" max="10512" width="2.875" style="254" customWidth="1"/>
    <col min="10513" max="10513" width="2.125" style="254" customWidth="1"/>
    <col min="10514" max="10515" width="2.75" style="254" customWidth="1"/>
    <col min="10516" max="10517" width="2.125" style="254" customWidth="1"/>
    <col min="10518" max="10555" width="2.875" style="254" customWidth="1"/>
    <col min="10556" max="10752" width="9" style="254" customWidth="1"/>
    <col min="10753" max="10754" width="1.75" style="254" customWidth="1"/>
    <col min="10755" max="10755" width="2.875" style="254" customWidth="1"/>
    <col min="10756" max="10756" width="3" style="254" customWidth="1"/>
    <col min="10757" max="10758" width="3.625" style="254" customWidth="1"/>
    <col min="10759" max="10759" width="3.25" style="254" customWidth="1"/>
    <col min="10760" max="10760" width="1.375" style="254" customWidth="1"/>
    <col min="10761" max="10761" width="2.125" style="254" customWidth="1"/>
    <col min="10762" max="10763" width="3" style="254" customWidth="1"/>
    <col min="10764" max="10766" width="2.875" style="254" customWidth="1"/>
    <col min="10767" max="10767" width="3" style="254" customWidth="1"/>
    <col min="10768" max="10768" width="2.875" style="254" customWidth="1"/>
    <col min="10769" max="10769" width="2.125" style="254" customWidth="1"/>
    <col min="10770" max="10771" width="2.75" style="254" customWidth="1"/>
    <col min="10772" max="10773" width="2.125" style="254" customWidth="1"/>
    <col min="10774" max="10811" width="2.875" style="254" customWidth="1"/>
    <col min="10812" max="11008" width="9" style="254" customWidth="1"/>
    <col min="11009" max="11010" width="1.75" style="254" customWidth="1"/>
    <col min="11011" max="11011" width="2.875" style="254" customWidth="1"/>
    <col min="11012" max="11012" width="3" style="254" customWidth="1"/>
    <col min="11013" max="11014" width="3.625" style="254" customWidth="1"/>
    <col min="11015" max="11015" width="3.25" style="254" customWidth="1"/>
    <col min="11016" max="11016" width="1.375" style="254" customWidth="1"/>
    <col min="11017" max="11017" width="2.125" style="254" customWidth="1"/>
    <col min="11018" max="11019" width="3" style="254" customWidth="1"/>
    <col min="11020" max="11022" width="2.875" style="254" customWidth="1"/>
    <col min="11023" max="11023" width="3" style="254" customWidth="1"/>
    <col min="11024" max="11024" width="2.875" style="254" customWidth="1"/>
    <col min="11025" max="11025" width="2.125" style="254" customWidth="1"/>
    <col min="11026" max="11027" width="2.75" style="254" customWidth="1"/>
    <col min="11028" max="11029" width="2.125" style="254" customWidth="1"/>
    <col min="11030" max="11067" width="2.875" style="254" customWidth="1"/>
    <col min="11068" max="11264" width="9" style="254" customWidth="1"/>
    <col min="11265" max="11266" width="1.75" style="254" customWidth="1"/>
    <col min="11267" max="11267" width="2.875" style="254" customWidth="1"/>
    <col min="11268" max="11268" width="3" style="254" customWidth="1"/>
    <col min="11269" max="11270" width="3.625" style="254" customWidth="1"/>
    <col min="11271" max="11271" width="3.25" style="254" customWidth="1"/>
    <col min="11272" max="11272" width="1.375" style="254" customWidth="1"/>
    <col min="11273" max="11273" width="2.125" style="254" customWidth="1"/>
    <col min="11274" max="11275" width="3" style="254" customWidth="1"/>
    <col min="11276" max="11278" width="2.875" style="254" customWidth="1"/>
    <col min="11279" max="11279" width="3" style="254" customWidth="1"/>
    <col min="11280" max="11280" width="2.875" style="254" customWidth="1"/>
    <col min="11281" max="11281" width="2.125" style="254" customWidth="1"/>
    <col min="11282" max="11283" width="2.75" style="254" customWidth="1"/>
    <col min="11284" max="11285" width="2.125" style="254" customWidth="1"/>
    <col min="11286" max="11323" width="2.875" style="254" customWidth="1"/>
    <col min="11324" max="11520" width="9" style="254" customWidth="1"/>
    <col min="11521" max="11522" width="1.75" style="254" customWidth="1"/>
    <col min="11523" max="11523" width="2.875" style="254" customWidth="1"/>
    <col min="11524" max="11524" width="3" style="254" customWidth="1"/>
    <col min="11525" max="11526" width="3.625" style="254" customWidth="1"/>
    <col min="11527" max="11527" width="3.25" style="254" customWidth="1"/>
    <col min="11528" max="11528" width="1.375" style="254" customWidth="1"/>
    <col min="11529" max="11529" width="2.125" style="254" customWidth="1"/>
    <col min="11530" max="11531" width="3" style="254" customWidth="1"/>
    <col min="11532" max="11534" width="2.875" style="254" customWidth="1"/>
    <col min="11535" max="11535" width="3" style="254" customWidth="1"/>
    <col min="11536" max="11536" width="2.875" style="254" customWidth="1"/>
    <col min="11537" max="11537" width="2.125" style="254" customWidth="1"/>
    <col min="11538" max="11539" width="2.75" style="254" customWidth="1"/>
    <col min="11540" max="11541" width="2.125" style="254" customWidth="1"/>
    <col min="11542" max="11579" width="2.875" style="254" customWidth="1"/>
    <col min="11580" max="11776" width="9" style="254" customWidth="1"/>
    <col min="11777" max="11778" width="1.75" style="254" customWidth="1"/>
    <col min="11779" max="11779" width="2.875" style="254" customWidth="1"/>
    <col min="11780" max="11780" width="3" style="254" customWidth="1"/>
    <col min="11781" max="11782" width="3.625" style="254" customWidth="1"/>
    <col min="11783" max="11783" width="3.25" style="254" customWidth="1"/>
    <col min="11784" max="11784" width="1.375" style="254" customWidth="1"/>
    <col min="11785" max="11785" width="2.125" style="254" customWidth="1"/>
    <col min="11786" max="11787" width="3" style="254" customWidth="1"/>
    <col min="11788" max="11790" width="2.875" style="254" customWidth="1"/>
    <col min="11791" max="11791" width="3" style="254" customWidth="1"/>
    <col min="11792" max="11792" width="2.875" style="254" customWidth="1"/>
    <col min="11793" max="11793" width="2.125" style="254" customWidth="1"/>
    <col min="11794" max="11795" width="2.75" style="254" customWidth="1"/>
    <col min="11796" max="11797" width="2.125" style="254" customWidth="1"/>
    <col min="11798" max="11835" width="2.875" style="254" customWidth="1"/>
    <col min="11836" max="12032" width="9" style="254" customWidth="1"/>
    <col min="12033" max="12034" width="1.75" style="254" customWidth="1"/>
    <col min="12035" max="12035" width="2.875" style="254" customWidth="1"/>
    <col min="12036" max="12036" width="3" style="254" customWidth="1"/>
    <col min="12037" max="12038" width="3.625" style="254" customWidth="1"/>
    <col min="12039" max="12039" width="3.25" style="254" customWidth="1"/>
    <col min="12040" max="12040" width="1.375" style="254" customWidth="1"/>
    <col min="12041" max="12041" width="2.125" style="254" customWidth="1"/>
    <col min="12042" max="12043" width="3" style="254" customWidth="1"/>
    <col min="12044" max="12046" width="2.875" style="254" customWidth="1"/>
    <col min="12047" max="12047" width="3" style="254" customWidth="1"/>
    <col min="12048" max="12048" width="2.875" style="254" customWidth="1"/>
    <col min="12049" max="12049" width="2.125" style="254" customWidth="1"/>
    <col min="12050" max="12051" width="2.75" style="254" customWidth="1"/>
    <col min="12052" max="12053" width="2.125" style="254" customWidth="1"/>
    <col min="12054" max="12091" width="2.875" style="254" customWidth="1"/>
    <col min="12092" max="12288" width="9" style="254" customWidth="1"/>
    <col min="12289" max="12290" width="1.75" style="254" customWidth="1"/>
    <col min="12291" max="12291" width="2.875" style="254" customWidth="1"/>
    <col min="12292" max="12292" width="3" style="254" customWidth="1"/>
    <col min="12293" max="12294" width="3.625" style="254" customWidth="1"/>
    <col min="12295" max="12295" width="3.25" style="254" customWidth="1"/>
    <col min="12296" max="12296" width="1.375" style="254" customWidth="1"/>
    <col min="12297" max="12297" width="2.125" style="254" customWidth="1"/>
    <col min="12298" max="12299" width="3" style="254" customWidth="1"/>
    <col min="12300" max="12302" width="2.875" style="254" customWidth="1"/>
    <col min="12303" max="12303" width="3" style="254" customWidth="1"/>
    <col min="12304" max="12304" width="2.875" style="254" customWidth="1"/>
    <col min="12305" max="12305" width="2.125" style="254" customWidth="1"/>
    <col min="12306" max="12307" width="2.75" style="254" customWidth="1"/>
    <col min="12308" max="12309" width="2.125" style="254" customWidth="1"/>
    <col min="12310" max="12347" width="2.875" style="254" customWidth="1"/>
    <col min="12348" max="12544" width="9" style="254" customWidth="1"/>
    <col min="12545" max="12546" width="1.75" style="254" customWidth="1"/>
    <col min="12547" max="12547" width="2.875" style="254" customWidth="1"/>
    <col min="12548" max="12548" width="3" style="254" customWidth="1"/>
    <col min="12549" max="12550" width="3.625" style="254" customWidth="1"/>
    <col min="12551" max="12551" width="3.25" style="254" customWidth="1"/>
    <col min="12552" max="12552" width="1.375" style="254" customWidth="1"/>
    <col min="12553" max="12553" width="2.125" style="254" customWidth="1"/>
    <col min="12554" max="12555" width="3" style="254" customWidth="1"/>
    <col min="12556" max="12558" width="2.875" style="254" customWidth="1"/>
    <col min="12559" max="12559" width="3" style="254" customWidth="1"/>
    <col min="12560" max="12560" width="2.875" style="254" customWidth="1"/>
    <col min="12561" max="12561" width="2.125" style="254" customWidth="1"/>
    <col min="12562" max="12563" width="2.75" style="254" customWidth="1"/>
    <col min="12564" max="12565" width="2.125" style="254" customWidth="1"/>
    <col min="12566" max="12603" width="2.875" style="254" customWidth="1"/>
    <col min="12604" max="12800" width="9" style="254" customWidth="1"/>
    <col min="12801" max="12802" width="1.75" style="254" customWidth="1"/>
    <col min="12803" max="12803" width="2.875" style="254" customWidth="1"/>
    <col min="12804" max="12804" width="3" style="254" customWidth="1"/>
    <col min="12805" max="12806" width="3.625" style="254" customWidth="1"/>
    <col min="12807" max="12807" width="3.25" style="254" customWidth="1"/>
    <col min="12808" max="12808" width="1.375" style="254" customWidth="1"/>
    <col min="12809" max="12809" width="2.125" style="254" customWidth="1"/>
    <col min="12810" max="12811" width="3" style="254" customWidth="1"/>
    <col min="12812" max="12814" width="2.875" style="254" customWidth="1"/>
    <col min="12815" max="12815" width="3" style="254" customWidth="1"/>
    <col min="12816" max="12816" width="2.875" style="254" customWidth="1"/>
    <col min="12817" max="12817" width="2.125" style="254" customWidth="1"/>
    <col min="12818" max="12819" width="2.75" style="254" customWidth="1"/>
    <col min="12820" max="12821" width="2.125" style="254" customWidth="1"/>
    <col min="12822" max="12859" width="2.875" style="254" customWidth="1"/>
    <col min="12860" max="13056" width="9" style="254" customWidth="1"/>
    <col min="13057" max="13058" width="1.75" style="254" customWidth="1"/>
    <col min="13059" max="13059" width="2.875" style="254" customWidth="1"/>
    <col min="13060" max="13060" width="3" style="254" customWidth="1"/>
    <col min="13061" max="13062" width="3.625" style="254" customWidth="1"/>
    <col min="13063" max="13063" width="3.25" style="254" customWidth="1"/>
    <col min="13064" max="13064" width="1.375" style="254" customWidth="1"/>
    <col min="13065" max="13065" width="2.125" style="254" customWidth="1"/>
    <col min="13066" max="13067" width="3" style="254" customWidth="1"/>
    <col min="13068" max="13070" width="2.875" style="254" customWidth="1"/>
    <col min="13071" max="13071" width="3" style="254" customWidth="1"/>
    <col min="13072" max="13072" width="2.875" style="254" customWidth="1"/>
    <col min="13073" max="13073" width="2.125" style="254" customWidth="1"/>
    <col min="13074" max="13075" width="2.75" style="254" customWidth="1"/>
    <col min="13076" max="13077" width="2.125" style="254" customWidth="1"/>
    <col min="13078" max="13115" width="2.875" style="254" customWidth="1"/>
    <col min="13116" max="13312" width="9" style="254" customWidth="1"/>
    <col min="13313" max="13314" width="1.75" style="254" customWidth="1"/>
    <col min="13315" max="13315" width="2.875" style="254" customWidth="1"/>
    <col min="13316" max="13316" width="3" style="254" customWidth="1"/>
    <col min="13317" max="13318" width="3.625" style="254" customWidth="1"/>
    <col min="13319" max="13319" width="3.25" style="254" customWidth="1"/>
    <col min="13320" max="13320" width="1.375" style="254" customWidth="1"/>
    <col min="13321" max="13321" width="2.125" style="254" customWidth="1"/>
    <col min="13322" max="13323" width="3" style="254" customWidth="1"/>
    <col min="13324" max="13326" width="2.875" style="254" customWidth="1"/>
    <col min="13327" max="13327" width="3" style="254" customWidth="1"/>
    <col min="13328" max="13328" width="2.875" style="254" customWidth="1"/>
    <col min="13329" max="13329" width="2.125" style="254" customWidth="1"/>
    <col min="13330" max="13331" width="2.75" style="254" customWidth="1"/>
    <col min="13332" max="13333" width="2.125" style="254" customWidth="1"/>
    <col min="13334" max="13371" width="2.875" style="254" customWidth="1"/>
    <col min="13372" max="13568" width="9" style="254" customWidth="1"/>
    <col min="13569" max="13570" width="1.75" style="254" customWidth="1"/>
    <col min="13571" max="13571" width="2.875" style="254" customWidth="1"/>
    <col min="13572" max="13572" width="3" style="254" customWidth="1"/>
    <col min="13573" max="13574" width="3.625" style="254" customWidth="1"/>
    <col min="13575" max="13575" width="3.25" style="254" customWidth="1"/>
    <col min="13576" max="13576" width="1.375" style="254" customWidth="1"/>
    <col min="13577" max="13577" width="2.125" style="254" customWidth="1"/>
    <col min="13578" max="13579" width="3" style="254" customWidth="1"/>
    <col min="13580" max="13582" width="2.875" style="254" customWidth="1"/>
    <col min="13583" max="13583" width="3" style="254" customWidth="1"/>
    <col min="13584" max="13584" width="2.875" style="254" customWidth="1"/>
    <col min="13585" max="13585" width="2.125" style="254" customWidth="1"/>
    <col min="13586" max="13587" width="2.75" style="254" customWidth="1"/>
    <col min="13588" max="13589" width="2.125" style="254" customWidth="1"/>
    <col min="13590" max="13627" width="2.875" style="254" customWidth="1"/>
    <col min="13628" max="13824" width="9" style="254" customWidth="1"/>
    <col min="13825" max="13826" width="1.75" style="254" customWidth="1"/>
    <col min="13827" max="13827" width="2.875" style="254" customWidth="1"/>
    <col min="13828" max="13828" width="3" style="254" customWidth="1"/>
    <col min="13829" max="13830" width="3.625" style="254" customWidth="1"/>
    <col min="13831" max="13831" width="3.25" style="254" customWidth="1"/>
    <col min="13832" max="13832" width="1.375" style="254" customWidth="1"/>
    <col min="13833" max="13833" width="2.125" style="254" customWidth="1"/>
    <col min="13834" max="13835" width="3" style="254" customWidth="1"/>
    <col min="13836" max="13838" width="2.875" style="254" customWidth="1"/>
    <col min="13839" max="13839" width="3" style="254" customWidth="1"/>
    <col min="13840" max="13840" width="2.875" style="254" customWidth="1"/>
    <col min="13841" max="13841" width="2.125" style="254" customWidth="1"/>
    <col min="13842" max="13843" width="2.75" style="254" customWidth="1"/>
    <col min="13844" max="13845" width="2.125" style="254" customWidth="1"/>
    <col min="13846" max="13883" width="2.875" style="254" customWidth="1"/>
    <col min="13884" max="14080" width="9" style="254" customWidth="1"/>
    <col min="14081" max="14082" width="1.75" style="254" customWidth="1"/>
    <col min="14083" max="14083" width="2.875" style="254" customWidth="1"/>
    <col min="14084" max="14084" width="3" style="254" customWidth="1"/>
    <col min="14085" max="14086" width="3.625" style="254" customWidth="1"/>
    <col min="14087" max="14087" width="3.25" style="254" customWidth="1"/>
    <col min="14088" max="14088" width="1.375" style="254" customWidth="1"/>
    <col min="14089" max="14089" width="2.125" style="254" customWidth="1"/>
    <col min="14090" max="14091" width="3" style="254" customWidth="1"/>
    <col min="14092" max="14094" width="2.875" style="254" customWidth="1"/>
    <col min="14095" max="14095" width="3" style="254" customWidth="1"/>
    <col min="14096" max="14096" width="2.875" style="254" customWidth="1"/>
    <col min="14097" max="14097" width="2.125" style="254" customWidth="1"/>
    <col min="14098" max="14099" width="2.75" style="254" customWidth="1"/>
    <col min="14100" max="14101" width="2.125" style="254" customWidth="1"/>
    <col min="14102" max="14139" width="2.875" style="254" customWidth="1"/>
    <col min="14140" max="14336" width="9" style="254" customWidth="1"/>
    <col min="14337" max="14338" width="1.75" style="254" customWidth="1"/>
    <col min="14339" max="14339" width="2.875" style="254" customWidth="1"/>
    <col min="14340" max="14340" width="3" style="254" customWidth="1"/>
    <col min="14341" max="14342" width="3.625" style="254" customWidth="1"/>
    <col min="14343" max="14343" width="3.25" style="254" customWidth="1"/>
    <col min="14344" max="14344" width="1.375" style="254" customWidth="1"/>
    <col min="14345" max="14345" width="2.125" style="254" customWidth="1"/>
    <col min="14346" max="14347" width="3" style="254" customWidth="1"/>
    <col min="14348" max="14350" width="2.875" style="254" customWidth="1"/>
    <col min="14351" max="14351" width="3" style="254" customWidth="1"/>
    <col min="14352" max="14352" width="2.875" style="254" customWidth="1"/>
    <col min="14353" max="14353" width="2.125" style="254" customWidth="1"/>
    <col min="14354" max="14355" width="2.75" style="254" customWidth="1"/>
    <col min="14356" max="14357" width="2.125" style="254" customWidth="1"/>
    <col min="14358" max="14395" width="2.875" style="254" customWidth="1"/>
    <col min="14396" max="14592" width="9" style="254" customWidth="1"/>
    <col min="14593" max="14594" width="1.75" style="254" customWidth="1"/>
    <col min="14595" max="14595" width="2.875" style="254" customWidth="1"/>
    <col min="14596" max="14596" width="3" style="254" customWidth="1"/>
    <col min="14597" max="14598" width="3.625" style="254" customWidth="1"/>
    <col min="14599" max="14599" width="3.25" style="254" customWidth="1"/>
    <col min="14600" max="14600" width="1.375" style="254" customWidth="1"/>
    <col min="14601" max="14601" width="2.125" style="254" customWidth="1"/>
    <col min="14602" max="14603" width="3" style="254" customWidth="1"/>
    <col min="14604" max="14606" width="2.875" style="254" customWidth="1"/>
    <col min="14607" max="14607" width="3" style="254" customWidth="1"/>
    <col min="14608" max="14608" width="2.875" style="254" customWidth="1"/>
    <col min="14609" max="14609" width="2.125" style="254" customWidth="1"/>
    <col min="14610" max="14611" width="2.75" style="254" customWidth="1"/>
    <col min="14612" max="14613" width="2.125" style="254" customWidth="1"/>
    <col min="14614" max="14651" width="2.875" style="254" customWidth="1"/>
    <col min="14652" max="14848" width="9" style="254" customWidth="1"/>
    <col min="14849" max="14850" width="1.75" style="254" customWidth="1"/>
    <col min="14851" max="14851" width="2.875" style="254" customWidth="1"/>
    <col min="14852" max="14852" width="3" style="254" customWidth="1"/>
    <col min="14853" max="14854" width="3.625" style="254" customWidth="1"/>
    <col min="14855" max="14855" width="3.25" style="254" customWidth="1"/>
    <col min="14856" max="14856" width="1.375" style="254" customWidth="1"/>
    <col min="14857" max="14857" width="2.125" style="254" customWidth="1"/>
    <col min="14858" max="14859" width="3" style="254" customWidth="1"/>
    <col min="14860" max="14862" width="2.875" style="254" customWidth="1"/>
    <col min="14863" max="14863" width="3" style="254" customWidth="1"/>
    <col min="14864" max="14864" width="2.875" style="254" customWidth="1"/>
    <col min="14865" max="14865" width="2.125" style="254" customWidth="1"/>
    <col min="14866" max="14867" width="2.75" style="254" customWidth="1"/>
    <col min="14868" max="14869" width="2.125" style="254" customWidth="1"/>
    <col min="14870" max="14907" width="2.875" style="254" customWidth="1"/>
    <col min="14908" max="15104" width="9" style="254" customWidth="1"/>
    <col min="15105" max="15106" width="1.75" style="254" customWidth="1"/>
    <col min="15107" max="15107" width="2.875" style="254" customWidth="1"/>
    <col min="15108" max="15108" width="3" style="254" customWidth="1"/>
    <col min="15109" max="15110" width="3.625" style="254" customWidth="1"/>
    <col min="15111" max="15111" width="3.25" style="254" customWidth="1"/>
    <col min="15112" max="15112" width="1.375" style="254" customWidth="1"/>
    <col min="15113" max="15113" width="2.125" style="254" customWidth="1"/>
    <col min="15114" max="15115" width="3" style="254" customWidth="1"/>
    <col min="15116" max="15118" width="2.875" style="254" customWidth="1"/>
    <col min="15119" max="15119" width="3" style="254" customWidth="1"/>
    <col min="15120" max="15120" width="2.875" style="254" customWidth="1"/>
    <col min="15121" max="15121" width="2.125" style="254" customWidth="1"/>
    <col min="15122" max="15123" width="2.75" style="254" customWidth="1"/>
    <col min="15124" max="15125" width="2.125" style="254" customWidth="1"/>
    <col min="15126" max="15163" width="2.875" style="254" customWidth="1"/>
    <col min="15164" max="15360" width="9" style="254" customWidth="1"/>
    <col min="15361" max="15362" width="1.75" style="254" customWidth="1"/>
    <col min="15363" max="15363" width="2.875" style="254" customWidth="1"/>
    <col min="15364" max="15364" width="3" style="254" customWidth="1"/>
    <col min="15365" max="15366" width="3.625" style="254" customWidth="1"/>
    <col min="15367" max="15367" width="3.25" style="254" customWidth="1"/>
    <col min="15368" max="15368" width="1.375" style="254" customWidth="1"/>
    <col min="15369" max="15369" width="2.125" style="254" customWidth="1"/>
    <col min="15370" max="15371" width="3" style="254" customWidth="1"/>
    <col min="15372" max="15374" width="2.875" style="254" customWidth="1"/>
    <col min="15375" max="15375" width="3" style="254" customWidth="1"/>
    <col min="15376" max="15376" width="2.875" style="254" customWidth="1"/>
    <col min="15377" max="15377" width="2.125" style="254" customWidth="1"/>
    <col min="15378" max="15379" width="2.75" style="254" customWidth="1"/>
    <col min="15380" max="15381" width="2.125" style="254" customWidth="1"/>
    <col min="15382" max="15419" width="2.875" style="254" customWidth="1"/>
    <col min="15420" max="15616" width="9" style="254" customWidth="1"/>
    <col min="15617" max="15618" width="1.75" style="254" customWidth="1"/>
    <col min="15619" max="15619" width="2.875" style="254" customWidth="1"/>
    <col min="15620" max="15620" width="3" style="254" customWidth="1"/>
    <col min="15621" max="15622" width="3.625" style="254" customWidth="1"/>
    <col min="15623" max="15623" width="3.25" style="254" customWidth="1"/>
    <col min="15624" max="15624" width="1.375" style="254" customWidth="1"/>
    <col min="15625" max="15625" width="2.125" style="254" customWidth="1"/>
    <col min="15626" max="15627" width="3" style="254" customWidth="1"/>
    <col min="15628" max="15630" width="2.875" style="254" customWidth="1"/>
    <col min="15631" max="15631" width="3" style="254" customWidth="1"/>
    <col min="15632" max="15632" width="2.875" style="254" customWidth="1"/>
    <col min="15633" max="15633" width="2.125" style="254" customWidth="1"/>
    <col min="15634" max="15635" width="2.75" style="254" customWidth="1"/>
    <col min="15636" max="15637" width="2.125" style="254" customWidth="1"/>
    <col min="15638" max="15675" width="2.875" style="254" customWidth="1"/>
    <col min="15676" max="15872" width="9" style="254" customWidth="1"/>
    <col min="15873" max="15874" width="1.75" style="254" customWidth="1"/>
    <col min="15875" max="15875" width="2.875" style="254" customWidth="1"/>
    <col min="15876" max="15876" width="3" style="254" customWidth="1"/>
    <col min="15877" max="15878" width="3.625" style="254" customWidth="1"/>
    <col min="15879" max="15879" width="3.25" style="254" customWidth="1"/>
    <col min="15880" max="15880" width="1.375" style="254" customWidth="1"/>
    <col min="15881" max="15881" width="2.125" style="254" customWidth="1"/>
    <col min="15882" max="15883" width="3" style="254" customWidth="1"/>
    <col min="15884" max="15886" width="2.875" style="254" customWidth="1"/>
    <col min="15887" max="15887" width="3" style="254" customWidth="1"/>
    <col min="15888" max="15888" width="2.875" style="254" customWidth="1"/>
    <col min="15889" max="15889" width="2.125" style="254" customWidth="1"/>
    <col min="15890" max="15891" width="2.75" style="254" customWidth="1"/>
    <col min="15892" max="15893" width="2.125" style="254" customWidth="1"/>
    <col min="15894" max="15931" width="2.875" style="254" customWidth="1"/>
    <col min="15932" max="16128" width="9" style="254" customWidth="1"/>
    <col min="16129" max="16130" width="1.75" style="254" customWidth="1"/>
    <col min="16131" max="16131" width="2.875" style="254" customWidth="1"/>
    <col min="16132" max="16132" width="3" style="254" customWidth="1"/>
    <col min="16133" max="16134" width="3.625" style="254" customWidth="1"/>
    <col min="16135" max="16135" width="3.25" style="254" customWidth="1"/>
    <col min="16136" max="16136" width="1.375" style="254" customWidth="1"/>
    <col min="16137" max="16137" width="2.125" style="254" customWidth="1"/>
    <col min="16138" max="16139" width="3" style="254" customWidth="1"/>
    <col min="16140" max="16142" width="2.875" style="254" customWidth="1"/>
    <col min="16143" max="16143" width="3" style="254" customWidth="1"/>
    <col min="16144" max="16144" width="2.875" style="254" customWidth="1"/>
    <col min="16145" max="16145" width="2.125" style="254" customWidth="1"/>
    <col min="16146" max="16147" width="2.75" style="254" customWidth="1"/>
    <col min="16148" max="16149" width="2.125" style="254" customWidth="1"/>
    <col min="16150" max="16187" width="2.875" style="254" customWidth="1"/>
    <col min="16188" max="16384" width="9" style="254" customWidth="1"/>
  </cols>
  <sheetData>
    <row r="1" spans="2:30" ht="15" customHeight="1">
      <c r="C1" s="792" t="s">
        <v>2950</v>
      </c>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row>
    <row r="2" spans="2:30" ht="12" customHeight="1">
      <c r="B2" s="260"/>
      <c r="C2" s="256" t="s">
        <v>2951</v>
      </c>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2:30" ht="12" customHeight="1">
      <c r="B3" s="269"/>
      <c r="C3" s="270" t="s">
        <v>2952</v>
      </c>
      <c r="D3" s="269"/>
      <c r="E3" s="269"/>
      <c r="F3" s="269"/>
      <c r="G3" s="793" t="str">
        <f>cst_wskakunin_BUILD__address</f>
        <v/>
      </c>
      <c r="H3" s="793"/>
      <c r="I3" s="793"/>
      <c r="J3" s="793"/>
      <c r="K3" s="793"/>
      <c r="L3" s="793"/>
      <c r="M3" s="793"/>
      <c r="N3" s="793"/>
      <c r="O3" s="793"/>
      <c r="P3" s="793"/>
      <c r="Q3" s="793"/>
      <c r="R3" s="793"/>
      <c r="S3" s="793"/>
      <c r="T3" s="793"/>
      <c r="U3" s="793"/>
      <c r="V3" s="793"/>
      <c r="W3" s="793"/>
      <c r="X3" s="793"/>
      <c r="Y3" s="793"/>
      <c r="Z3" s="793"/>
      <c r="AA3" s="793"/>
      <c r="AB3" s="793"/>
      <c r="AC3" s="793"/>
      <c r="AD3" s="793"/>
    </row>
    <row r="4" spans="2:30" ht="12" customHeight="1">
      <c r="B4" s="269"/>
      <c r="C4" s="270" t="s">
        <v>2953</v>
      </c>
      <c r="D4" s="269"/>
      <c r="E4" s="269"/>
      <c r="F4" s="269"/>
      <c r="G4" s="793" t="str">
        <f>cst_wskakunin_BUILD_JYUKYO__address</f>
        <v/>
      </c>
      <c r="H4" s="793"/>
      <c r="I4" s="793"/>
      <c r="J4" s="793"/>
      <c r="K4" s="793"/>
      <c r="L4" s="793"/>
      <c r="M4" s="793"/>
      <c r="N4" s="793"/>
      <c r="O4" s="793"/>
      <c r="P4" s="793"/>
      <c r="Q4" s="793"/>
      <c r="R4" s="793"/>
      <c r="S4" s="793"/>
      <c r="T4" s="793"/>
      <c r="U4" s="793"/>
      <c r="V4" s="793"/>
      <c r="W4" s="793"/>
      <c r="X4" s="793"/>
      <c r="Y4" s="793"/>
      <c r="Z4" s="793"/>
      <c r="AA4" s="793"/>
      <c r="AB4" s="793"/>
      <c r="AC4" s="793"/>
      <c r="AD4" s="793"/>
    </row>
    <row r="5" spans="2:30" ht="12" customHeight="1">
      <c r="C5" s="12" t="s">
        <v>2954</v>
      </c>
    </row>
    <row r="6" spans="2:30" ht="12" customHeight="1">
      <c r="F6" s="271" t="str">
        <f>cst_wskakunin_KUIKI_TOSI</f>
        <v>□</v>
      </c>
      <c r="G6" s="254" t="s">
        <v>1743</v>
      </c>
      <c r="L6" s="249" t="s">
        <v>2912</v>
      </c>
      <c r="M6" s="271" t="str">
        <f>cst_wskakunin_KUIKI_SIGAIKA</f>
        <v>□</v>
      </c>
      <c r="N6" s="254" t="s">
        <v>1750</v>
      </c>
      <c r="Q6" s="271" t="str">
        <f>cst_wskakunin_KUIKI_TYOSEI</f>
        <v>□</v>
      </c>
      <c r="R6" s="254" t="s">
        <v>1756</v>
      </c>
      <c r="W6" s="271" t="str">
        <f>cst_wskakunin_KUIKI_HISETTEI</f>
        <v>□</v>
      </c>
      <c r="X6" s="254" t="s">
        <v>1759</v>
      </c>
      <c r="AB6" s="254" t="s">
        <v>2913</v>
      </c>
    </row>
    <row r="7" spans="2:30" ht="12" customHeight="1">
      <c r="F7" s="271" t="str">
        <f>cst_wskakunin_KUIKI_JYUN_TOSHI</f>
        <v>□</v>
      </c>
      <c r="G7" s="254" t="s">
        <v>2955</v>
      </c>
      <c r="M7" s="271" t="str">
        <f>cst_wskakunin_KUIKI_KUIKIGAI</f>
        <v>□</v>
      </c>
      <c r="N7" s="254" t="s">
        <v>2956</v>
      </c>
    </row>
    <row r="8" spans="2:30" ht="12" customHeight="1">
      <c r="B8" s="269"/>
      <c r="C8" s="270" t="s">
        <v>2957</v>
      </c>
      <c r="D8" s="269"/>
      <c r="E8" s="269"/>
      <c r="F8" s="269"/>
      <c r="G8" s="272" t="str">
        <f>cst_wskakunin_BOUKA_BOUKA</f>
        <v>□</v>
      </c>
      <c r="H8" s="269" t="s">
        <v>1771</v>
      </c>
      <c r="I8" s="269"/>
      <c r="J8" s="269"/>
      <c r="K8" s="269"/>
      <c r="L8" s="272" t="str">
        <f>cst_wskakunin_BOUKA_JYUN_BOUKA</f>
        <v>□</v>
      </c>
      <c r="M8" s="269" t="s">
        <v>1774</v>
      </c>
      <c r="N8" s="269"/>
      <c r="O8" s="269"/>
      <c r="P8" s="269"/>
      <c r="Q8" s="272" t="str">
        <f>cst_wskakunin_BOUKA_NASI</f>
        <v>□</v>
      </c>
      <c r="R8" s="269" t="s">
        <v>1777</v>
      </c>
      <c r="S8" s="269"/>
      <c r="T8" s="269"/>
      <c r="U8" s="269"/>
      <c r="V8" s="269"/>
      <c r="W8" s="269"/>
      <c r="X8" s="269"/>
      <c r="Y8" s="269"/>
      <c r="Z8" s="269"/>
      <c r="AA8" s="269"/>
      <c r="AB8" s="269"/>
      <c r="AC8" s="269"/>
      <c r="AD8" s="269"/>
    </row>
    <row r="9" spans="2:30" ht="12" customHeight="1">
      <c r="C9" s="273" t="s">
        <v>2958</v>
      </c>
      <c r="M9" s="259"/>
      <c r="N9" s="259"/>
      <c r="O9" s="259"/>
      <c r="P9" s="259"/>
      <c r="Q9" s="259"/>
      <c r="R9" s="259"/>
      <c r="S9" s="259"/>
      <c r="T9" s="259"/>
      <c r="U9" s="259"/>
      <c r="V9" s="259"/>
      <c r="W9" s="259"/>
      <c r="X9" s="259"/>
      <c r="Y9" s="259"/>
      <c r="Z9" s="259"/>
      <c r="AA9" s="259"/>
      <c r="AB9" s="259"/>
      <c r="AC9" s="259"/>
      <c r="AD9" s="259"/>
    </row>
    <row r="10" spans="2:30" ht="12" customHeight="1">
      <c r="C10" s="273"/>
      <c r="G10" s="794" t="str">
        <f>cst_wskakunin_wskakunin_SONOTA_KUIKI</f>
        <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2:30" ht="12" customHeight="1">
      <c r="B11" s="260"/>
      <c r="C11" s="260"/>
      <c r="D11" s="260"/>
      <c r="E11" s="260"/>
      <c r="F11" s="260"/>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row>
    <row r="12" spans="2:30" ht="12" customHeight="1">
      <c r="C12" s="12" t="s">
        <v>2959</v>
      </c>
    </row>
    <row r="13" spans="2:30" ht="12" customHeight="1">
      <c r="D13" s="254" t="s">
        <v>2960</v>
      </c>
      <c r="M13" s="796" t="str">
        <f>cst_wskakunin_DOURO_FUKUIN</f>
        <v/>
      </c>
      <c r="N13" s="796"/>
      <c r="O13" s="796"/>
      <c r="P13" s="249" t="s">
        <v>2961</v>
      </c>
    </row>
    <row r="14" spans="2:30" ht="12" customHeight="1">
      <c r="B14" s="260"/>
      <c r="C14" s="260"/>
      <c r="D14" s="260" t="s">
        <v>2962</v>
      </c>
      <c r="E14" s="260"/>
      <c r="F14" s="260"/>
      <c r="G14" s="260"/>
      <c r="H14" s="260"/>
      <c r="I14" s="260"/>
      <c r="J14" s="260"/>
      <c r="K14" s="260"/>
      <c r="L14" s="260"/>
      <c r="M14" s="797" t="str">
        <f>cst_wskakunin_DOURO_NAGASA</f>
        <v/>
      </c>
      <c r="N14" s="797"/>
      <c r="O14" s="797"/>
      <c r="P14" s="274" t="s">
        <v>2961</v>
      </c>
      <c r="Q14" s="260"/>
      <c r="R14" s="260"/>
      <c r="S14" s="260"/>
      <c r="T14" s="260"/>
      <c r="U14" s="260"/>
      <c r="V14" s="260"/>
      <c r="W14" s="260"/>
      <c r="X14" s="260"/>
      <c r="Y14" s="260"/>
      <c r="Z14" s="260"/>
      <c r="AA14" s="260"/>
      <c r="AB14" s="260"/>
      <c r="AC14" s="260"/>
      <c r="AD14" s="260"/>
    </row>
    <row r="15" spans="2:30" s="258" customFormat="1" ht="12" customHeight="1">
      <c r="C15" s="12" t="s">
        <v>2963</v>
      </c>
    </row>
    <row r="16" spans="2:30" s="258" customFormat="1" ht="12" customHeight="1">
      <c r="D16" s="258" t="s">
        <v>2964</v>
      </c>
      <c r="G16" s="275" t="s">
        <v>2965</v>
      </c>
      <c r="H16" s="258" t="s">
        <v>2912</v>
      </c>
      <c r="I16" s="798" t="str">
        <f>cst_wskakunin_SHIKITI_MENSEKI_1A</f>
        <v/>
      </c>
      <c r="J16" s="798"/>
      <c r="K16" s="798"/>
      <c r="L16" s="249" t="s">
        <v>2966</v>
      </c>
      <c r="M16" s="258" t="s">
        <v>2967</v>
      </c>
      <c r="N16" s="798" t="str">
        <f>cst_wskakunin_SHIKITI_MENSEKI_1B</f>
        <v/>
      </c>
      <c r="O16" s="798"/>
      <c r="P16" s="798"/>
      <c r="Q16" s="249" t="s">
        <v>2966</v>
      </c>
      <c r="R16" s="258" t="s">
        <v>2967</v>
      </c>
      <c r="S16" s="798" t="str">
        <f>cst_wskakunin_SHIKITI_MENSEKI_1C</f>
        <v/>
      </c>
      <c r="T16" s="798"/>
      <c r="U16" s="798"/>
      <c r="V16" s="249" t="s">
        <v>2966</v>
      </c>
      <c r="W16" s="258" t="s">
        <v>2967</v>
      </c>
      <c r="X16" s="798" t="str">
        <f>cst_wskakunin_SHIKITI_MENSEKI_1D</f>
        <v/>
      </c>
      <c r="Y16" s="798"/>
      <c r="Z16" s="798"/>
      <c r="AA16" s="249" t="s">
        <v>2966</v>
      </c>
      <c r="AB16" s="258" t="s">
        <v>2913</v>
      </c>
    </row>
    <row r="17" spans="2:30" s="258" customFormat="1" ht="12" customHeight="1">
      <c r="G17" s="275" t="s">
        <v>2968</v>
      </c>
      <c r="H17" s="258" t="s">
        <v>2912</v>
      </c>
      <c r="I17" s="798" t="str">
        <f>cst_wskakunin_SHIKITI_MENSEKI_2A</f>
        <v/>
      </c>
      <c r="J17" s="798"/>
      <c r="K17" s="798"/>
      <c r="L17" s="249" t="s">
        <v>2966</v>
      </c>
      <c r="M17" s="258" t="s">
        <v>2967</v>
      </c>
      <c r="N17" s="798" t="str">
        <f>cst_wskakunin_SHIKITI_MENSEKI_2B</f>
        <v/>
      </c>
      <c r="O17" s="798"/>
      <c r="P17" s="798"/>
      <c r="Q17" s="249" t="s">
        <v>2966</v>
      </c>
      <c r="R17" s="258" t="s">
        <v>2967</v>
      </c>
      <c r="S17" s="798" t="str">
        <f>cst_wskakunin_SHIKITI_MENSEKI_2C</f>
        <v/>
      </c>
      <c r="T17" s="798"/>
      <c r="U17" s="798"/>
      <c r="V17" s="249" t="s">
        <v>2966</v>
      </c>
      <c r="W17" s="258" t="s">
        <v>2967</v>
      </c>
      <c r="X17" s="798" t="str">
        <f>cst_wskakunin_SHIKITI_MENSEKI_2D</f>
        <v/>
      </c>
      <c r="Y17" s="798"/>
      <c r="Z17" s="798"/>
      <c r="AA17" s="249" t="s">
        <v>2966</v>
      </c>
      <c r="AB17" s="258" t="s">
        <v>2913</v>
      </c>
    </row>
    <row r="18" spans="2:30" s="258" customFormat="1" ht="12" customHeight="1">
      <c r="D18" s="258" t="s">
        <v>2969</v>
      </c>
      <c r="H18" s="258" t="s">
        <v>2912</v>
      </c>
      <c r="I18" s="791" t="str">
        <f>cst_wskakunin_YOUTO_TIIKI_A</f>
        <v/>
      </c>
      <c r="J18" s="791"/>
      <c r="K18" s="791"/>
      <c r="L18" s="791"/>
      <c r="M18" s="258" t="s">
        <v>2967</v>
      </c>
      <c r="N18" s="791" t="str">
        <f>cst_wskakunin_YOUTO_TIIKI_B</f>
        <v/>
      </c>
      <c r="O18" s="791"/>
      <c r="P18" s="791"/>
      <c r="Q18" s="791"/>
      <c r="R18" s="258" t="s">
        <v>2967</v>
      </c>
      <c r="S18" s="791" t="str">
        <f>cst_wskakunin_YOUTO_TIIKI_C</f>
        <v/>
      </c>
      <c r="T18" s="791"/>
      <c r="U18" s="791"/>
      <c r="V18" s="791"/>
      <c r="W18" s="258" t="s">
        <v>2967</v>
      </c>
      <c r="X18" s="791" t="str">
        <f>cst_wskakunin_YOUTO_TIIKI_D</f>
        <v/>
      </c>
      <c r="Y18" s="791"/>
      <c r="Z18" s="791"/>
      <c r="AA18" s="791"/>
      <c r="AB18" s="258" t="s">
        <v>2913</v>
      </c>
    </row>
    <row r="19" spans="2:30" s="258" customFormat="1" ht="12" customHeight="1">
      <c r="D19" s="258" t="s">
        <v>2970</v>
      </c>
    </row>
    <row r="20" spans="2:30" s="258" customFormat="1" ht="12" customHeight="1">
      <c r="H20" s="258" t="s">
        <v>2912</v>
      </c>
      <c r="I20" s="798" t="str">
        <f>cst_wskakunin_YOUSEKI_RITU_A</f>
        <v/>
      </c>
      <c r="J20" s="798"/>
      <c r="K20" s="798"/>
      <c r="L20" s="262" t="s">
        <v>2971</v>
      </c>
      <c r="M20" s="258" t="s">
        <v>2967</v>
      </c>
      <c r="N20" s="798" t="str">
        <f>cst_wskakunin_YOUSEKI_RITU_B</f>
        <v/>
      </c>
      <c r="O20" s="798"/>
      <c r="P20" s="798"/>
      <c r="Q20" s="262" t="s">
        <v>2971</v>
      </c>
      <c r="R20" s="258" t="s">
        <v>2967</v>
      </c>
      <c r="S20" s="798" t="str">
        <f>cst_wskakunin_YOUSEKI_RITU_C</f>
        <v/>
      </c>
      <c r="T20" s="798"/>
      <c r="U20" s="798"/>
      <c r="V20" s="262" t="s">
        <v>2971</v>
      </c>
      <c r="W20" s="258" t="s">
        <v>2967</v>
      </c>
      <c r="X20" s="798" t="str">
        <f>cst_wskakunin_YOUSEKI_RITU_D</f>
        <v/>
      </c>
      <c r="Y20" s="798"/>
      <c r="Z20" s="798"/>
      <c r="AA20" s="262" t="s">
        <v>2971</v>
      </c>
      <c r="AB20" s="258" t="s">
        <v>2913</v>
      </c>
    </row>
    <row r="21" spans="2:30" s="258" customFormat="1" ht="12" customHeight="1">
      <c r="D21" s="258" t="s">
        <v>2972</v>
      </c>
    </row>
    <row r="22" spans="2:30" s="258" customFormat="1" ht="12" customHeight="1">
      <c r="H22" s="258" t="s">
        <v>2912</v>
      </c>
      <c r="I22" s="798" t="str">
        <f>cst_wskakunin_KENPEI_RITU_A</f>
        <v/>
      </c>
      <c r="J22" s="798"/>
      <c r="K22" s="798"/>
      <c r="L22" s="262" t="s">
        <v>2971</v>
      </c>
      <c r="M22" s="258" t="s">
        <v>2967</v>
      </c>
      <c r="N22" s="798" t="str">
        <f>cst_wskakunin_KENPEI_RITU_B</f>
        <v/>
      </c>
      <c r="O22" s="798"/>
      <c r="P22" s="798"/>
      <c r="Q22" s="262" t="s">
        <v>2971</v>
      </c>
      <c r="R22" s="258" t="s">
        <v>2967</v>
      </c>
      <c r="S22" s="798" t="str">
        <f>cst_wskakunin_KENPEI_RITU_C</f>
        <v/>
      </c>
      <c r="T22" s="798"/>
      <c r="U22" s="798"/>
      <c r="V22" s="262" t="s">
        <v>2971</v>
      </c>
      <c r="W22" s="258" t="s">
        <v>2967</v>
      </c>
      <c r="X22" s="798" t="str">
        <f>cst_wskakunin_KENPEI_RITU_D</f>
        <v/>
      </c>
      <c r="Y22" s="798"/>
      <c r="Z22" s="798"/>
      <c r="AA22" s="262" t="s">
        <v>2971</v>
      </c>
      <c r="AB22" s="258" t="s">
        <v>2913</v>
      </c>
    </row>
    <row r="23" spans="2:30" s="258" customFormat="1" ht="12" customHeight="1">
      <c r="D23" s="258" t="s">
        <v>2973</v>
      </c>
      <c r="I23" s="275" t="s">
        <v>2965</v>
      </c>
      <c r="J23" s="798" t="str">
        <f>cst_wskakunin_SHIKITI_MENSEKI_1_TOTAL</f>
        <v/>
      </c>
      <c r="K23" s="798"/>
      <c r="L23" s="798"/>
      <c r="M23" s="258" t="s">
        <v>2966</v>
      </c>
    </row>
    <row r="24" spans="2:30" s="258" customFormat="1" ht="12" customHeight="1">
      <c r="I24" s="275" t="s">
        <v>2968</v>
      </c>
      <c r="J24" s="798" t="str">
        <f>cst_wskakunin_SHIKITI_MENSEKI_2_TOTAL</f>
        <v/>
      </c>
      <c r="K24" s="798"/>
      <c r="L24" s="798"/>
      <c r="M24" s="258" t="s">
        <v>2966</v>
      </c>
    </row>
    <row r="25" spans="2:30" s="258" customFormat="1" ht="12" customHeight="1">
      <c r="D25" s="258" t="s">
        <v>2974</v>
      </c>
      <c r="Q25" s="798" t="str">
        <f>cst_wskakunin_LIMIT_YOUSEKI_RITU</f>
        <v/>
      </c>
      <c r="R25" s="798"/>
      <c r="S25" s="798"/>
      <c r="T25" s="803" t="s">
        <v>2971</v>
      </c>
      <c r="U25" s="803"/>
    </row>
    <row r="26" spans="2:30" s="258" customFormat="1" ht="12" customHeight="1">
      <c r="D26" s="258" t="s">
        <v>2975</v>
      </c>
      <c r="Q26" s="798" t="str">
        <f>cst_wskakunin_LIMIT_KENPEI_RITU</f>
        <v/>
      </c>
      <c r="R26" s="798"/>
      <c r="S26" s="798"/>
      <c r="T26" s="803" t="s">
        <v>2971</v>
      </c>
      <c r="U26" s="803"/>
    </row>
    <row r="27" spans="2:30" s="258" customFormat="1" ht="12" customHeight="1">
      <c r="D27" s="258" t="s">
        <v>2976</v>
      </c>
      <c r="F27" s="16"/>
      <c r="G27"/>
      <c r="H27" s="804" t="str">
        <f>cst_wskakunin_SHIKITI_MENSEKI_BIKOU</f>
        <v/>
      </c>
      <c r="I27" s="804"/>
      <c r="J27" s="804"/>
      <c r="K27" s="804"/>
      <c r="L27" s="804"/>
      <c r="M27" s="804"/>
      <c r="N27" s="804"/>
      <c r="O27" s="804"/>
      <c r="P27" s="804"/>
      <c r="Q27" s="804"/>
      <c r="R27" s="804"/>
      <c r="S27" s="804"/>
      <c r="T27" s="804"/>
      <c r="U27" s="804"/>
      <c r="V27" s="804"/>
      <c r="W27" s="804"/>
      <c r="X27" s="804"/>
      <c r="Y27" s="804"/>
      <c r="Z27" s="804"/>
      <c r="AA27" s="804"/>
      <c r="AB27" s="804"/>
      <c r="AC27" s="804"/>
      <c r="AD27" s="804"/>
    </row>
    <row r="28" spans="2:30" s="258" customFormat="1" ht="12" customHeight="1">
      <c r="B28" s="263"/>
      <c r="C28" s="263"/>
      <c r="D28" s="263"/>
      <c r="E28" s="263"/>
      <c r="F28" s="185"/>
      <c r="G28" s="185"/>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row>
    <row r="29" spans="2:30" ht="12" customHeight="1">
      <c r="B29" s="732"/>
      <c r="C29" s="734" t="s">
        <v>2977</v>
      </c>
      <c r="D29" s="732"/>
      <c r="E29" s="732"/>
      <c r="F29" s="799" t="s">
        <v>2978</v>
      </c>
      <c r="G29" s="799"/>
      <c r="H29" s="800" t="str">
        <f>cst_wskakunin_YOUTO_CODE</f>
        <v/>
      </c>
      <c r="I29" s="800"/>
      <c r="J29" s="800"/>
      <c r="K29" s="800"/>
      <c r="L29" s="732" t="s">
        <v>2913</v>
      </c>
      <c r="M29" s="788" t="str">
        <f>cst_wskakunin_YOUTO</f>
        <v/>
      </c>
      <c r="N29" s="788"/>
      <c r="O29" s="788"/>
      <c r="P29" s="788"/>
      <c r="Q29" s="788"/>
      <c r="R29" s="788"/>
      <c r="S29" s="788"/>
      <c r="T29" s="788"/>
      <c r="U29" s="788"/>
      <c r="V29" s="788"/>
      <c r="W29" s="788"/>
      <c r="X29" s="788"/>
      <c r="Y29" s="788"/>
      <c r="Z29" s="788"/>
      <c r="AA29" s="788"/>
      <c r="AB29" s="788"/>
      <c r="AC29" s="788"/>
      <c r="AD29" s="788"/>
    </row>
    <row r="30" spans="2:30" ht="12" customHeight="1">
      <c r="B30" s="260"/>
      <c r="C30" s="276"/>
      <c r="D30" s="260"/>
      <c r="E30" s="260"/>
      <c r="F30" s="260"/>
      <c r="G30" s="274"/>
      <c r="H30" s="193"/>
      <c r="I30" s="193"/>
      <c r="J30" s="193"/>
      <c r="K30" s="193"/>
      <c r="L30" s="260"/>
      <c r="M30" s="801"/>
      <c r="N30" s="801"/>
      <c r="O30" s="801"/>
      <c r="P30" s="801"/>
      <c r="Q30" s="801"/>
      <c r="R30" s="801"/>
      <c r="S30" s="801"/>
      <c r="T30" s="801"/>
      <c r="U30" s="801"/>
      <c r="V30" s="801"/>
      <c r="W30" s="801"/>
      <c r="X30" s="801"/>
      <c r="Y30" s="801"/>
      <c r="Z30" s="801"/>
      <c r="AA30" s="801"/>
      <c r="AB30" s="801"/>
      <c r="AC30" s="801"/>
      <c r="AD30" s="801"/>
    </row>
    <row r="31" spans="2:30" ht="12" customHeight="1">
      <c r="C31" s="12" t="s">
        <v>2979</v>
      </c>
      <c r="G31" s="271" t="str">
        <f>cst_wskakunin_KOUJI_SINTIKU_box</f>
        <v>□</v>
      </c>
      <c r="H31" s="254" t="s">
        <v>1879</v>
      </c>
      <c r="K31" s="271" t="str">
        <f>cst_wskakunin_KOUJI_ZOUTIKU_box</f>
        <v>□</v>
      </c>
      <c r="L31" s="254" t="s">
        <v>1882</v>
      </c>
      <c r="N31" s="271" t="str">
        <f>cst_wskakunin_KOUJI_KAITIKU_box</f>
        <v>□</v>
      </c>
      <c r="O31" s="254" t="s">
        <v>1885</v>
      </c>
      <c r="Q31" s="271" t="str">
        <f>cst_wskakunin_KOUJI_ITEN_box</f>
        <v>□</v>
      </c>
      <c r="R31" s="254" t="s">
        <v>1888</v>
      </c>
      <c r="T31" s="271" t="str">
        <f>cst_wskakunin_KOUJI_YOUTOHENKOU_box</f>
        <v>□</v>
      </c>
      <c r="U31" s="254" t="s">
        <v>1891</v>
      </c>
    </row>
    <row r="32" spans="2:30" ht="12" customHeight="1">
      <c r="B32" s="260"/>
      <c r="C32" s="260"/>
      <c r="D32" s="260"/>
      <c r="E32" s="260"/>
      <c r="F32" s="260"/>
      <c r="G32" s="277" t="str">
        <f>cst_wskakunin_KOUJI_DAI_SYUUZEN_box</f>
        <v>□</v>
      </c>
      <c r="H32" s="260" t="s">
        <v>1895</v>
      </c>
      <c r="I32" s="260"/>
      <c r="J32" s="260"/>
      <c r="K32" s="260"/>
      <c r="L32" s="260"/>
      <c r="M32" s="260"/>
      <c r="N32" s="277" t="str">
        <f>cst_wskakunin_KOUJI_DAI_MOYOUGAE_box</f>
        <v>□</v>
      </c>
      <c r="O32" s="260" t="s">
        <v>1898</v>
      </c>
      <c r="P32" s="260"/>
      <c r="Q32" s="260"/>
      <c r="R32" s="260"/>
      <c r="S32" s="260"/>
      <c r="T32" s="260"/>
      <c r="U32" s="260"/>
      <c r="W32" s="278"/>
      <c r="X32" s="260"/>
      <c r="Y32" s="260"/>
      <c r="Z32" s="260"/>
      <c r="AA32" s="260"/>
      <c r="AB32" s="260"/>
      <c r="AC32" s="260"/>
      <c r="AD32" s="260"/>
    </row>
    <row r="33" spans="2:30" ht="12" customHeight="1">
      <c r="C33" s="12" t="s">
        <v>2980</v>
      </c>
      <c r="L33" s="279" t="s">
        <v>2912</v>
      </c>
      <c r="M33" s="799" t="s">
        <v>1980</v>
      </c>
      <c r="N33" s="799"/>
      <c r="O33" s="799"/>
      <c r="P33" s="799"/>
      <c r="Q33" s="254" t="s">
        <v>2913</v>
      </c>
      <c r="R33" s="279" t="s">
        <v>2912</v>
      </c>
      <c r="S33" s="799" t="s">
        <v>1983</v>
      </c>
      <c r="T33" s="799"/>
      <c r="U33" s="799"/>
      <c r="V33" s="799"/>
      <c r="W33" s="799"/>
      <c r="X33" s="254" t="s">
        <v>2913</v>
      </c>
      <c r="Y33" s="279" t="s">
        <v>2912</v>
      </c>
      <c r="Z33" s="799" t="s">
        <v>1986</v>
      </c>
      <c r="AA33" s="799"/>
      <c r="AB33" s="799"/>
      <c r="AC33" s="799"/>
      <c r="AD33" s="254" t="s">
        <v>2913</v>
      </c>
    </row>
    <row r="34" spans="2:30" ht="12" customHeight="1">
      <c r="D34" s="541" t="s">
        <v>2981</v>
      </c>
      <c r="L34" s="279" t="s">
        <v>2912</v>
      </c>
      <c r="M34" s="802" t="str">
        <f>cst_wskakunin_KENTIKU_MENSEKI_ZENTAI_SHINSEI</f>
        <v/>
      </c>
      <c r="N34" s="802"/>
      <c r="O34" s="802"/>
      <c r="P34" s="249" t="s">
        <v>2966</v>
      </c>
      <c r="Q34" s="254" t="s">
        <v>2913</v>
      </c>
      <c r="R34" s="279" t="s">
        <v>2912</v>
      </c>
      <c r="S34" s="802" t="str">
        <f>cst_wskakunin_KENTIKU_MENSEKI_ZENTAI_IGAI</f>
        <v/>
      </c>
      <c r="T34" s="802"/>
      <c r="U34" s="802"/>
      <c r="V34" s="802"/>
      <c r="W34" s="249" t="s">
        <v>2966</v>
      </c>
      <c r="X34" s="254" t="s">
        <v>2913</v>
      </c>
      <c r="Y34" s="279" t="s">
        <v>2912</v>
      </c>
      <c r="Z34" s="802" t="str">
        <f>cst_wskakunin_KENTIKU_MENSEKI_ZENTAI_TOTAL</f>
        <v/>
      </c>
      <c r="AA34" s="802"/>
      <c r="AB34" s="802"/>
      <c r="AC34" s="249" t="s">
        <v>2966</v>
      </c>
      <c r="AD34" s="254" t="s">
        <v>2913</v>
      </c>
    </row>
    <row r="35" spans="2:30" ht="12" customHeight="1">
      <c r="D35" s="541" t="s">
        <v>2982</v>
      </c>
      <c r="L35" s="279"/>
      <c r="M35" s="542"/>
      <c r="N35" s="542"/>
      <c r="O35" s="542"/>
      <c r="P35" s="249"/>
      <c r="R35" s="279"/>
      <c r="S35" s="542"/>
      <c r="T35" s="542"/>
      <c r="U35" s="542"/>
      <c r="V35" s="542"/>
      <c r="W35" s="249"/>
      <c r="Y35" s="279"/>
      <c r="Z35" s="542"/>
      <c r="AA35" s="542"/>
      <c r="AB35" s="542"/>
      <c r="AC35" s="249"/>
    </row>
    <row r="36" spans="2:30" ht="12" customHeight="1">
      <c r="L36" s="279" t="s">
        <v>2912</v>
      </c>
      <c r="M36" s="802" t="str">
        <f>cst_wskakunin_KENTIKU_MENSEKI_SHINSEI</f>
        <v/>
      </c>
      <c r="N36" s="802"/>
      <c r="O36" s="802"/>
      <c r="P36" s="249" t="s">
        <v>2966</v>
      </c>
      <c r="Q36" s="254" t="s">
        <v>2913</v>
      </c>
      <c r="R36" s="279" t="s">
        <v>2912</v>
      </c>
      <c r="S36" s="802" t="str">
        <f>cst_wskakunin_KENTIKU_MENSEKI_IGAI</f>
        <v/>
      </c>
      <c r="T36" s="802"/>
      <c r="U36" s="802"/>
      <c r="V36" s="802"/>
      <c r="W36" s="249" t="s">
        <v>2966</v>
      </c>
      <c r="X36" s="254" t="s">
        <v>2913</v>
      </c>
      <c r="Y36" s="279" t="s">
        <v>2912</v>
      </c>
      <c r="Z36" s="802" t="str">
        <f>cst_wskakunin_KENTIKU_MENSEKI_TOTAL</f>
        <v/>
      </c>
      <c r="AA36" s="802"/>
      <c r="AB36" s="802"/>
      <c r="AC36" s="249" t="s">
        <v>2966</v>
      </c>
      <c r="AD36" s="254" t="s">
        <v>2913</v>
      </c>
    </row>
    <row r="37" spans="2:30" ht="12" customHeight="1">
      <c r="B37" s="260"/>
      <c r="C37" s="260"/>
      <c r="D37" s="260" t="s">
        <v>2983</v>
      </c>
      <c r="E37" s="260"/>
      <c r="F37" s="260"/>
      <c r="G37" s="260"/>
      <c r="H37" s="260"/>
      <c r="I37" s="260"/>
      <c r="J37" s="260"/>
      <c r="K37" s="260"/>
      <c r="L37" s="260"/>
      <c r="M37" s="806" t="str">
        <f>cst_wskakunin_KENPEI_RITU</f>
        <v/>
      </c>
      <c r="N37" s="806"/>
      <c r="O37" s="806"/>
      <c r="P37" s="274" t="s">
        <v>2971</v>
      </c>
      <c r="Q37" s="260"/>
      <c r="R37" s="260"/>
      <c r="S37" s="260"/>
      <c r="T37" s="260"/>
      <c r="U37" s="260"/>
      <c r="V37" s="260"/>
      <c r="W37" s="260"/>
      <c r="X37" s="260"/>
      <c r="Y37" s="260"/>
      <c r="Z37" s="260"/>
      <c r="AA37" s="260"/>
      <c r="AB37" s="260"/>
      <c r="AC37" s="260"/>
      <c r="AD37" s="260"/>
    </row>
    <row r="38" spans="2:30" ht="12" customHeight="1">
      <c r="C38" s="12" t="s">
        <v>2984</v>
      </c>
      <c r="L38" s="279" t="s">
        <v>2912</v>
      </c>
      <c r="M38" s="799" t="s">
        <v>1980</v>
      </c>
      <c r="N38" s="799"/>
      <c r="O38" s="799"/>
      <c r="P38" s="799"/>
      <c r="Q38" s="254" t="s">
        <v>2913</v>
      </c>
      <c r="R38" s="279" t="s">
        <v>2912</v>
      </c>
      <c r="S38" s="799" t="s">
        <v>1983</v>
      </c>
      <c r="T38" s="799"/>
      <c r="U38" s="799"/>
      <c r="V38" s="799"/>
      <c r="W38" s="799"/>
      <c r="X38" s="254" t="s">
        <v>2913</v>
      </c>
      <c r="Y38" s="279" t="s">
        <v>2912</v>
      </c>
      <c r="Z38" s="799" t="s">
        <v>1986</v>
      </c>
      <c r="AA38" s="799"/>
      <c r="AB38" s="799"/>
      <c r="AC38" s="799"/>
      <c r="AD38" s="254" t="s">
        <v>2913</v>
      </c>
    </row>
    <row r="39" spans="2:30" ht="12" customHeight="1">
      <c r="D39" s="254" t="s">
        <v>2981</v>
      </c>
      <c r="L39" s="279" t="s">
        <v>2912</v>
      </c>
      <c r="M39" s="802" t="str">
        <f>cst_wskakunin_NOBE_MENSEKI_BUILD_SHINSEI</f>
        <v/>
      </c>
      <c r="N39" s="802"/>
      <c r="O39" s="802"/>
      <c r="P39" s="249" t="s">
        <v>2966</v>
      </c>
      <c r="Q39" s="254" t="s">
        <v>2913</v>
      </c>
      <c r="R39" s="279" t="s">
        <v>2912</v>
      </c>
      <c r="S39" s="802" t="str">
        <f>cst_wskakunin_NOBE_MENSEKI_BUILD_IGAI</f>
        <v/>
      </c>
      <c r="T39" s="802"/>
      <c r="U39" s="802"/>
      <c r="V39" s="802"/>
      <c r="W39" s="249" t="s">
        <v>2966</v>
      </c>
      <c r="X39" s="254" t="s">
        <v>2913</v>
      </c>
      <c r="Y39" s="279" t="s">
        <v>2912</v>
      </c>
      <c r="Z39" s="802" t="str">
        <f>cst_wskakunin_NOBE_MENSEKI_BUILD_TOTAL</f>
        <v/>
      </c>
      <c r="AA39" s="802"/>
      <c r="AB39" s="802"/>
      <c r="AC39" s="249" t="s">
        <v>2966</v>
      </c>
      <c r="AD39" s="254" t="s">
        <v>2913</v>
      </c>
    </row>
    <row r="40" spans="2:30" ht="12" customHeight="1">
      <c r="D40" s="254" t="s">
        <v>2985</v>
      </c>
    </row>
    <row r="41" spans="2:30" ht="12" customHeight="1">
      <c r="L41" s="279" t="s">
        <v>2912</v>
      </c>
      <c r="M41" s="802" t="str">
        <f>cst_wskakunin_NOBE_MENSEKI_TIKAI_SHINSEI</f>
        <v/>
      </c>
      <c r="N41" s="802"/>
      <c r="O41" s="802"/>
      <c r="P41" s="249" t="s">
        <v>2966</v>
      </c>
      <c r="Q41" s="254" t="s">
        <v>2913</v>
      </c>
      <c r="R41" s="279" t="s">
        <v>2912</v>
      </c>
      <c r="S41" s="802" t="str">
        <f>cst_wskakunin_NOBE_MENSEKI_TIKAI_IGAI</f>
        <v/>
      </c>
      <c r="T41" s="802"/>
      <c r="U41" s="802"/>
      <c r="V41" s="802"/>
      <c r="W41" s="249" t="s">
        <v>2966</v>
      </c>
      <c r="X41" s="254" t="s">
        <v>2913</v>
      </c>
      <c r="Y41" s="279" t="s">
        <v>2912</v>
      </c>
      <c r="Z41" s="802" t="str">
        <f>cst_wskakunin_NOBE_MENSEKI_TIKAI_TOTAL</f>
        <v/>
      </c>
      <c r="AA41" s="802"/>
      <c r="AB41" s="802"/>
      <c r="AC41" s="249" t="s">
        <v>2966</v>
      </c>
      <c r="AD41" s="254" t="s">
        <v>2913</v>
      </c>
    </row>
    <row r="42" spans="2:30" ht="12" customHeight="1">
      <c r="D42" s="254" t="s">
        <v>2986</v>
      </c>
      <c r="L42" s="279" t="s">
        <v>2912</v>
      </c>
      <c r="M42" s="802" t="str">
        <f>cst_wskakunin_NOBE_MENSEKI_SYOUKOURO_SHINSEI</f>
        <v/>
      </c>
      <c r="N42" s="802"/>
      <c r="O42" s="802"/>
      <c r="P42" s="249" t="s">
        <v>2966</v>
      </c>
      <c r="Q42" s="254" t="s">
        <v>2913</v>
      </c>
      <c r="R42" s="279" t="s">
        <v>2912</v>
      </c>
      <c r="S42" s="802" t="str">
        <f>cst_wskakunin_NOBE_MENSEKI_SYOUKOURO_IGAI</f>
        <v/>
      </c>
      <c r="T42" s="802"/>
      <c r="U42" s="802"/>
      <c r="V42" s="802"/>
      <c r="W42" s="249" t="s">
        <v>2966</v>
      </c>
      <c r="X42" s="254" t="s">
        <v>2913</v>
      </c>
      <c r="Y42" s="279" t="s">
        <v>2912</v>
      </c>
      <c r="Z42" s="802" t="str">
        <f>cst_wskakunin_NOBE_MENSEKI_SYOUKOURO_TOTAL</f>
        <v/>
      </c>
      <c r="AA42" s="802"/>
      <c r="AB42" s="802"/>
      <c r="AC42" s="249" t="s">
        <v>2966</v>
      </c>
      <c r="AD42" s="254" t="s">
        <v>2913</v>
      </c>
    </row>
    <row r="43" spans="2:30" ht="12" customHeight="1">
      <c r="D43" s="254" t="s">
        <v>2987</v>
      </c>
      <c r="L43" s="279"/>
      <c r="M43" s="543"/>
      <c r="N43" s="543"/>
      <c r="O43" s="543"/>
      <c r="P43" s="249"/>
      <c r="R43" s="279"/>
      <c r="S43" s="543"/>
      <c r="T43" s="543"/>
      <c r="U43" s="543"/>
      <c r="V43" s="543"/>
      <c r="W43" s="249"/>
      <c r="Y43" s="279"/>
      <c r="Z43" s="543"/>
      <c r="AA43" s="543"/>
      <c r="AB43" s="543"/>
      <c r="AC43" s="249"/>
    </row>
    <row r="44" spans="2:30" ht="12" customHeight="1">
      <c r="L44" s="279" t="s">
        <v>2912</v>
      </c>
      <c r="M44" s="802" t="str">
        <f>cst_wskakunin_NOBE_MENSEKI_KYOYOU_SHINSEI</f>
        <v/>
      </c>
      <c r="N44" s="802"/>
      <c r="O44" s="802"/>
      <c r="P44" s="249" t="s">
        <v>2966</v>
      </c>
      <c r="Q44" s="254" t="s">
        <v>2913</v>
      </c>
      <c r="R44" s="279" t="s">
        <v>2912</v>
      </c>
      <c r="S44" s="802" t="str">
        <f>cst_wskakunin_NOBE_MENSEKI_KYOYOU_IGAI</f>
        <v/>
      </c>
      <c r="T44" s="802"/>
      <c r="U44" s="802"/>
      <c r="V44" s="802"/>
      <c r="W44" s="249" t="s">
        <v>2966</v>
      </c>
      <c r="X44" s="254" t="s">
        <v>2913</v>
      </c>
      <c r="Y44" s="279" t="s">
        <v>2912</v>
      </c>
      <c r="Z44" s="802" t="str">
        <f>cst_wskakunin_NOBE_MENSEKI_KYOYOU_TOTAL</f>
        <v/>
      </c>
      <c r="AA44" s="802"/>
      <c r="AB44" s="802"/>
      <c r="AC44" s="249" t="s">
        <v>2966</v>
      </c>
      <c r="AD44" s="254" t="s">
        <v>2913</v>
      </c>
    </row>
    <row r="45" spans="2:30" ht="12" customHeight="1">
      <c r="D45" s="541" t="s">
        <v>2988</v>
      </c>
      <c r="L45" s="279" t="s">
        <v>2912</v>
      </c>
      <c r="M45" s="802" t="str">
        <f>cst_wskakunin_NOBE_MENSEKI_KIKAI_SHINSEI</f>
        <v/>
      </c>
      <c r="N45" s="802"/>
      <c r="O45" s="802"/>
      <c r="P45" s="249" t="s">
        <v>2966</v>
      </c>
      <c r="Q45" s="254" t="s">
        <v>2913</v>
      </c>
      <c r="R45" s="279" t="s">
        <v>2912</v>
      </c>
      <c r="S45" s="802" t="str">
        <f>cst_wskakunin_NOBE_MENSEKI_KIKAI_IGAI</f>
        <v/>
      </c>
      <c r="T45" s="802"/>
      <c r="U45" s="802"/>
      <c r="V45" s="802"/>
      <c r="W45" s="249" t="s">
        <v>2966</v>
      </c>
      <c r="X45" s="254" t="s">
        <v>2913</v>
      </c>
      <c r="Y45" s="279" t="s">
        <v>2912</v>
      </c>
      <c r="Z45" s="802" t="str">
        <f>cst_wskakunin_NOBE_MENSEKI_KIKAI_TOTAL</f>
        <v/>
      </c>
      <c r="AA45" s="802"/>
      <c r="AB45" s="802"/>
      <c r="AC45" s="249" t="s">
        <v>2966</v>
      </c>
      <c r="AD45" s="254" t="s">
        <v>2913</v>
      </c>
    </row>
    <row r="46" spans="2:30" ht="12" customHeight="1">
      <c r="D46" s="541" t="s">
        <v>2989</v>
      </c>
      <c r="L46" s="279" t="s">
        <v>2912</v>
      </c>
      <c r="M46" s="802" t="str">
        <f>cst_wskakunin_NOBE_MENSEKI_SYAKO_SHINSEI</f>
        <v/>
      </c>
      <c r="N46" s="802"/>
      <c r="O46" s="802"/>
      <c r="P46" s="249" t="s">
        <v>2966</v>
      </c>
      <c r="Q46" s="254" t="s">
        <v>2913</v>
      </c>
      <c r="R46" s="279" t="s">
        <v>2912</v>
      </c>
      <c r="S46" s="802" t="str">
        <f>cst_wskakunin_NOBE_MENSEKI_SYAKO_IGAI</f>
        <v/>
      </c>
      <c r="T46" s="802"/>
      <c r="U46" s="802"/>
      <c r="V46" s="802"/>
      <c r="W46" s="249" t="s">
        <v>2966</v>
      </c>
      <c r="X46" s="254" t="s">
        <v>2913</v>
      </c>
      <c r="Y46" s="279" t="s">
        <v>2912</v>
      </c>
      <c r="Z46" s="802" t="str">
        <f>cst_wskakunin_NOBE_MENSEKI_SYAKO_TOTAL</f>
        <v/>
      </c>
      <c r="AA46" s="802"/>
      <c r="AB46" s="802"/>
      <c r="AC46" s="249" t="s">
        <v>2966</v>
      </c>
      <c r="AD46" s="254" t="s">
        <v>2913</v>
      </c>
    </row>
    <row r="47" spans="2:30" ht="12" customHeight="1">
      <c r="D47" s="541" t="s">
        <v>2990</v>
      </c>
      <c r="L47" s="279" t="s">
        <v>2912</v>
      </c>
      <c r="M47" s="802" t="str">
        <f>cst_wskakunin_NOBE_MENSEKI_BITIKUSOUKO_SHINSEI</f>
        <v/>
      </c>
      <c r="N47" s="802"/>
      <c r="O47" s="802"/>
      <c r="P47" s="249" t="s">
        <v>2966</v>
      </c>
      <c r="Q47" s="254" t="s">
        <v>2913</v>
      </c>
      <c r="R47" s="279" t="s">
        <v>2912</v>
      </c>
      <c r="S47" s="802" t="str">
        <f>cst_wskakunin_NOBE_MENSEKI_BITIKUSOUKO_IGAI</f>
        <v/>
      </c>
      <c r="T47" s="802"/>
      <c r="U47" s="802"/>
      <c r="V47" s="802"/>
      <c r="W47" s="249" t="s">
        <v>2966</v>
      </c>
      <c r="X47" s="254" t="s">
        <v>2913</v>
      </c>
      <c r="Y47" s="279" t="s">
        <v>2912</v>
      </c>
      <c r="Z47" s="802" t="str">
        <f>cst_wskakunin_NOBE_MENSEKI_BITIKUSOUKO_TOTAL</f>
        <v/>
      </c>
      <c r="AA47" s="802"/>
      <c r="AB47" s="802"/>
      <c r="AC47" s="249" t="s">
        <v>2966</v>
      </c>
      <c r="AD47" s="254" t="s">
        <v>2913</v>
      </c>
    </row>
    <row r="48" spans="2:30" ht="12" customHeight="1">
      <c r="D48" s="541" t="s">
        <v>2991</v>
      </c>
      <c r="L48" s="279" t="s">
        <v>2912</v>
      </c>
      <c r="M48" s="802" t="str">
        <f>cst_wskakunin_NOBE_MENSEKI_TIKUDENTI_SHINSEI</f>
        <v/>
      </c>
      <c r="N48" s="802"/>
      <c r="O48" s="802"/>
      <c r="P48" s="249" t="s">
        <v>2966</v>
      </c>
      <c r="Q48" s="254" t="s">
        <v>2913</v>
      </c>
      <c r="R48" s="279" t="s">
        <v>2912</v>
      </c>
      <c r="S48" s="802" t="str">
        <f>cst_wskakunin_NOBE_MENSEKI_TIKUDENTI_IGAI</f>
        <v/>
      </c>
      <c r="T48" s="802"/>
      <c r="U48" s="802"/>
      <c r="V48" s="802"/>
      <c r="W48" s="249" t="s">
        <v>2966</v>
      </c>
      <c r="X48" s="254" t="s">
        <v>2913</v>
      </c>
      <c r="Y48" s="279" t="s">
        <v>2912</v>
      </c>
      <c r="Z48" s="802" t="str">
        <f>cst_wskakunin_NOBE_MENSEKI_TIKUDENTI_TOTAL</f>
        <v/>
      </c>
      <c r="AA48" s="802"/>
      <c r="AB48" s="802"/>
      <c r="AC48" s="249" t="s">
        <v>2966</v>
      </c>
      <c r="AD48" s="254" t="s">
        <v>2913</v>
      </c>
    </row>
    <row r="49" spans="2:30" ht="12" customHeight="1">
      <c r="D49" s="541" t="s">
        <v>2992</v>
      </c>
      <c r="L49" s="279" t="s">
        <v>2912</v>
      </c>
      <c r="M49" s="802" t="str">
        <f>cst_wskakunin_NOBE_MENSEKI_JIKAHATUDEN_SHINSEI</f>
        <v/>
      </c>
      <c r="N49" s="802"/>
      <c r="O49" s="802"/>
      <c r="P49" s="249" t="s">
        <v>2966</v>
      </c>
      <c r="Q49" s="254" t="s">
        <v>2913</v>
      </c>
      <c r="R49" s="279" t="s">
        <v>2912</v>
      </c>
      <c r="S49" s="802" t="str">
        <f>cst_wskakunin_NOBE_MENSEKI_JIKAHATUDEN_IGAI</f>
        <v/>
      </c>
      <c r="T49" s="802"/>
      <c r="U49" s="802"/>
      <c r="V49" s="802"/>
      <c r="W49" s="249" t="s">
        <v>2966</v>
      </c>
      <c r="X49" s="254" t="s">
        <v>2913</v>
      </c>
      <c r="Y49" s="279" t="s">
        <v>2912</v>
      </c>
      <c r="Z49" s="802" t="str">
        <f>cst_wskakunin_NOBE_MENSEKI_JIKAHATUDEN_TOTAL</f>
        <v/>
      </c>
      <c r="AA49" s="802"/>
      <c r="AB49" s="802"/>
      <c r="AC49" s="249" t="s">
        <v>2966</v>
      </c>
      <c r="AD49" s="254" t="s">
        <v>2913</v>
      </c>
    </row>
    <row r="50" spans="2:30" ht="12" customHeight="1">
      <c r="D50" s="541" t="s">
        <v>2993</v>
      </c>
      <c r="L50" s="279" t="s">
        <v>2912</v>
      </c>
      <c r="M50" s="802" t="str">
        <f>cst_wskakunin_NOBE_MENSEKI_CHOSUISOU_SHINSEI</f>
        <v/>
      </c>
      <c r="N50" s="802"/>
      <c r="O50" s="802"/>
      <c r="P50" s="249" t="s">
        <v>2966</v>
      </c>
      <c r="Q50" s="254" t="s">
        <v>2913</v>
      </c>
      <c r="R50" s="279" t="s">
        <v>2912</v>
      </c>
      <c r="S50" s="802" t="str">
        <f>cst_wskakunin_NOBE_MENSEKI_CHOSUISOU_IGAI</f>
        <v/>
      </c>
      <c r="T50" s="802"/>
      <c r="U50" s="802"/>
      <c r="V50" s="802"/>
      <c r="W50" s="249" t="s">
        <v>2966</v>
      </c>
      <c r="X50" s="254" t="s">
        <v>2913</v>
      </c>
      <c r="Y50" s="279" t="s">
        <v>2912</v>
      </c>
      <c r="Z50" s="802" t="str">
        <f>cst_wskakunin_NOBE_MENSEKI_CHOSUISOU_TOTAL</f>
        <v/>
      </c>
      <c r="AA50" s="802"/>
      <c r="AB50" s="802"/>
      <c r="AC50" s="249" t="s">
        <v>2966</v>
      </c>
      <c r="AD50" s="254" t="s">
        <v>2913</v>
      </c>
    </row>
    <row r="51" spans="2:30" ht="12" customHeight="1">
      <c r="D51" s="541" t="s">
        <v>2994</v>
      </c>
      <c r="L51" s="279" t="s">
        <v>2912</v>
      </c>
      <c r="M51" s="802" t="str">
        <f>cst_wskakunin_NOBE_MENSEKI_TAKUHAI_SHINSEI</f>
        <v/>
      </c>
      <c r="N51" s="802"/>
      <c r="O51" s="802"/>
      <c r="P51" s="249" t="s">
        <v>2966</v>
      </c>
      <c r="Q51" s="254" t="s">
        <v>2913</v>
      </c>
      <c r="R51" s="279" t="s">
        <v>2912</v>
      </c>
      <c r="S51" s="802" t="str">
        <f>cst_wskakunin_NOBE_MENSEKI_TAKUHAI_IGAI</f>
        <v/>
      </c>
      <c r="T51" s="802"/>
      <c r="U51" s="802"/>
      <c r="V51" s="802"/>
      <c r="W51" s="249" t="s">
        <v>2966</v>
      </c>
      <c r="X51" s="254" t="s">
        <v>2913</v>
      </c>
      <c r="Y51" s="279" t="s">
        <v>2912</v>
      </c>
      <c r="Z51" s="802" t="str">
        <f>cst_wskakunin_NOBE_MENSEKI_TAKUHAI_TOTAL</f>
        <v/>
      </c>
      <c r="AA51" s="802"/>
      <c r="AB51" s="802"/>
      <c r="AC51" s="249" t="s">
        <v>2966</v>
      </c>
      <c r="AD51" s="254" t="s">
        <v>2913</v>
      </c>
    </row>
    <row r="52" spans="2:30" ht="12" customHeight="1">
      <c r="D52" s="541" t="s">
        <v>2995</v>
      </c>
      <c r="L52" s="279" t="s">
        <v>2912</v>
      </c>
      <c r="M52" s="802" t="str">
        <f>cst_wskakunin_NOBE_MENSEKI_FUSANNYU_SHINSEI</f>
        <v/>
      </c>
      <c r="N52" s="802"/>
      <c r="O52" s="802"/>
      <c r="P52" s="249" t="s">
        <v>2966</v>
      </c>
      <c r="Q52" s="254" t="s">
        <v>2913</v>
      </c>
      <c r="R52" s="279" t="s">
        <v>2912</v>
      </c>
      <c r="S52" s="802" t="str">
        <f>cst_wskakunin_NOBE_MENSEKI_FUSANNYU_IGAI</f>
        <v/>
      </c>
      <c r="T52" s="802"/>
      <c r="U52" s="802"/>
      <c r="V52" s="802"/>
      <c r="W52" s="249" t="s">
        <v>2966</v>
      </c>
      <c r="X52" s="254" t="s">
        <v>2913</v>
      </c>
      <c r="Y52" s="279" t="s">
        <v>2912</v>
      </c>
      <c r="Z52" s="802" t="str">
        <f>cst_wskakunin_NOBE_MENSEKI_FUSANNYU_TOTAL</f>
        <v/>
      </c>
      <c r="AA52" s="802"/>
      <c r="AB52" s="802"/>
      <c r="AC52" s="249" t="s">
        <v>2966</v>
      </c>
      <c r="AD52" s="254" t="s">
        <v>2913</v>
      </c>
    </row>
    <row r="53" spans="2:30" ht="12" customHeight="1">
      <c r="D53" s="541" t="s">
        <v>2996</v>
      </c>
      <c r="L53" s="279" t="s">
        <v>2912</v>
      </c>
      <c r="M53" s="802" t="str">
        <f>cst_wskakunin_NOBE_MENSEKI_JYUTAKU_SHINSEI</f>
        <v/>
      </c>
      <c r="N53" s="802"/>
      <c r="O53" s="802"/>
      <c r="P53" s="249" t="s">
        <v>2966</v>
      </c>
      <c r="Q53" s="254" t="s">
        <v>2913</v>
      </c>
      <c r="R53" s="279" t="s">
        <v>2912</v>
      </c>
      <c r="S53" s="802" t="str">
        <f>cst_wskakunin_NOBE_MENSEKI_JYUTAKU_IGAI</f>
        <v/>
      </c>
      <c r="T53" s="802"/>
      <c r="U53" s="802"/>
      <c r="V53" s="802"/>
      <c r="W53" s="249" t="s">
        <v>2966</v>
      </c>
      <c r="X53" s="254" t="s">
        <v>2913</v>
      </c>
      <c r="Y53" s="279" t="s">
        <v>2912</v>
      </c>
      <c r="Z53" s="802" t="str">
        <f>cst_wskakunin_NOBE_MENSEKI_JYUTAKU_TOTAL</f>
        <v/>
      </c>
      <c r="AA53" s="802"/>
      <c r="AB53" s="802"/>
      <c r="AC53" s="249" t="s">
        <v>2966</v>
      </c>
      <c r="AD53" s="254" t="s">
        <v>2913</v>
      </c>
    </row>
    <row r="54" spans="2:30" ht="12" customHeight="1">
      <c r="D54" s="541" t="s">
        <v>2997</v>
      </c>
      <c r="L54" s="279" t="s">
        <v>2912</v>
      </c>
      <c r="M54" s="802" t="str">
        <f>cst_wskakunin_NOBE_MENSEKI_ROUJIN_SHINSEI</f>
        <v/>
      </c>
      <c r="N54" s="802"/>
      <c r="O54" s="802"/>
      <c r="P54" s="249" t="s">
        <v>2966</v>
      </c>
      <c r="Q54" s="254" t="s">
        <v>2913</v>
      </c>
      <c r="R54" s="279" t="s">
        <v>2912</v>
      </c>
      <c r="S54" s="802" t="str">
        <f>cst_wskakunin_NOBE_MENSEKI_ROUJIN_IGAI</f>
        <v/>
      </c>
      <c r="T54" s="802"/>
      <c r="U54" s="802"/>
      <c r="V54" s="802"/>
      <c r="W54" s="249" t="s">
        <v>2966</v>
      </c>
      <c r="X54" s="254" t="s">
        <v>2913</v>
      </c>
      <c r="Y54" s="279" t="s">
        <v>2912</v>
      </c>
      <c r="Z54" s="802" t="str">
        <f>cst_wskakunin_NOBE_MENSEKI_ROUJIN_TOTAL</f>
        <v/>
      </c>
      <c r="AA54" s="802"/>
      <c r="AB54" s="802"/>
      <c r="AC54" s="249" t="s">
        <v>2966</v>
      </c>
      <c r="AD54" s="254" t="s">
        <v>2913</v>
      </c>
    </row>
    <row r="55" spans="2:30" ht="12" customHeight="1">
      <c r="D55" s="541" t="s">
        <v>2998</v>
      </c>
      <c r="L55" s="279" t="s">
        <v>2912</v>
      </c>
      <c r="M55" s="802" t="str">
        <f>cst_wskakunin_NOBE_MENSEKI</f>
        <v/>
      </c>
      <c r="N55" s="802"/>
      <c r="O55" s="802"/>
      <c r="P55" s="249" t="s">
        <v>2966</v>
      </c>
      <c r="Q55" s="254" t="s">
        <v>2913</v>
      </c>
      <c r="R55" s="279"/>
      <c r="S55" s="16"/>
      <c r="T55" s="16"/>
      <c r="U55" s="16"/>
      <c r="V55" s="16"/>
      <c r="W55" s="249"/>
    </row>
    <row r="56" spans="2:30" ht="12" customHeight="1">
      <c r="B56" s="260"/>
      <c r="C56" s="260"/>
      <c r="D56" s="544" t="s">
        <v>2999</v>
      </c>
      <c r="E56" s="260"/>
      <c r="F56" s="260"/>
      <c r="G56" s="260"/>
      <c r="H56" s="260"/>
      <c r="I56" s="260"/>
      <c r="J56" s="260"/>
      <c r="K56" s="260"/>
      <c r="L56" s="278"/>
      <c r="M56" s="806" t="str">
        <f>cst_wskakunin_YOUSEKI_RITU</f>
        <v/>
      </c>
      <c r="N56" s="806"/>
      <c r="O56" s="806"/>
      <c r="P56" s="274" t="s">
        <v>2971</v>
      </c>
      <c r="Q56" s="260"/>
      <c r="R56" s="278"/>
      <c r="S56" s="193"/>
      <c r="T56" s="193"/>
      <c r="U56" s="193"/>
      <c r="V56" s="193"/>
      <c r="W56" s="274"/>
      <c r="X56" s="260"/>
      <c r="Y56" s="278"/>
      <c r="Z56" s="193"/>
      <c r="AA56" s="193"/>
      <c r="AB56" s="193"/>
      <c r="AC56" s="274"/>
      <c r="AD56" s="260"/>
    </row>
    <row r="57" spans="2:30" ht="12" customHeight="1">
      <c r="C57" s="12" t="s">
        <v>3000</v>
      </c>
    </row>
    <row r="58" spans="2:30" ht="12" customHeight="1">
      <c r="D58" s="254" t="s">
        <v>3001</v>
      </c>
      <c r="M58" s="808" t="str">
        <f>cst_wskakunin_BUILD_SHINSEI_COUNT</f>
        <v/>
      </c>
      <c r="N58" s="808"/>
    </row>
    <row r="59" spans="2:30" ht="12" customHeight="1">
      <c r="B59" s="260"/>
      <c r="C59" s="260"/>
      <c r="D59" s="260" t="s">
        <v>3002</v>
      </c>
      <c r="E59" s="260"/>
      <c r="F59" s="260"/>
      <c r="G59" s="260"/>
      <c r="H59" s="260"/>
      <c r="I59" s="260"/>
      <c r="J59" s="260"/>
      <c r="K59" s="260"/>
      <c r="L59" s="260"/>
      <c r="M59" s="809" t="str">
        <f>cst_wskakunin_BUILD_SONOTA_COUNT</f>
        <v/>
      </c>
      <c r="N59" s="809"/>
      <c r="O59" s="260"/>
      <c r="P59" s="260"/>
      <c r="Q59" s="260"/>
      <c r="R59" s="260"/>
      <c r="S59" s="260"/>
      <c r="T59" s="260"/>
      <c r="U59" s="260"/>
      <c r="V59" s="260"/>
      <c r="W59" s="260"/>
      <c r="X59" s="260"/>
      <c r="Y59" s="260"/>
      <c r="Z59" s="260"/>
      <c r="AA59" s="260"/>
      <c r="AB59" s="260"/>
      <c r="AC59" s="260"/>
      <c r="AD59" s="260"/>
    </row>
    <row r="60" spans="2:30" ht="12" customHeight="1">
      <c r="C60" s="12" t="s">
        <v>3003</v>
      </c>
      <c r="I60" s="279" t="s">
        <v>2912</v>
      </c>
      <c r="J60" s="799" t="s">
        <v>2111</v>
      </c>
      <c r="K60" s="799"/>
      <c r="L60" s="799"/>
      <c r="M60" s="799"/>
      <c r="N60" s="799"/>
      <c r="O60" s="254" t="s">
        <v>2913</v>
      </c>
      <c r="Q60" s="279" t="s">
        <v>2912</v>
      </c>
      <c r="R60" s="799" t="s">
        <v>2114</v>
      </c>
      <c r="S60" s="799"/>
      <c r="T60" s="799"/>
      <c r="U60" s="799"/>
      <c r="V60" s="799"/>
      <c r="W60" s="254" t="s">
        <v>2913</v>
      </c>
    </row>
    <row r="61" spans="2:30" ht="12" customHeight="1">
      <c r="D61" s="254" t="s">
        <v>3004</v>
      </c>
      <c r="I61" s="279" t="s">
        <v>2912</v>
      </c>
      <c r="J61" s="807" t="str">
        <f>cst_wskakunin_TAKASA_MAX_SHINSEI</f>
        <v/>
      </c>
      <c r="K61" s="807"/>
      <c r="L61" s="807"/>
      <c r="M61" s="807"/>
      <c r="N61" s="254" t="s">
        <v>2961</v>
      </c>
      <c r="O61" s="254" t="s">
        <v>2913</v>
      </c>
      <c r="Q61" s="279" t="s">
        <v>2912</v>
      </c>
      <c r="R61" s="807" t="str">
        <f>cst_wskakunin_TAKASA_MAX_SONOTA</f>
        <v/>
      </c>
      <c r="S61" s="807"/>
      <c r="T61" s="807"/>
      <c r="U61" s="807"/>
      <c r="V61" s="254" t="s">
        <v>2961</v>
      </c>
      <c r="W61" s="254" t="s">
        <v>2913</v>
      </c>
    </row>
    <row r="62" spans="2:30" ht="12" customHeight="1">
      <c r="D62" s="254" t="s">
        <v>3005</v>
      </c>
      <c r="G62" s="254" t="s">
        <v>3006</v>
      </c>
      <c r="I62" s="279" t="s">
        <v>2912</v>
      </c>
      <c r="J62" s="808" t="str">
        <f>cst_wskakunin_KAISU_TIJYOU_SHINSEI</f>
        <v/>
      </c>
      <c r="K62" s="808"/>
      <c r="L62" s="808"/>
      <c r="M62" s="808"/>
      <c r="N62" s="254" t="s">
        <v>3007</v>
      </c>
      <c r="O62" s="254" t="s">
        <v>2913</v>
      </c>
      <c r="Q62" s="279" t="s">
        <v>2912</v>
      </c>
      <c r="R62" s="808" t="str">
        <f>cst_wskakunin_KAISU_TIJYOU_SONOTA</f>
        <v/>
      </c>
      <c r="S62" s="808"/>
      <c r="T62" s="808"/>
      <c r="U62" s="808"/>
      <c r="V62" s="254" t="s">
        <v>3007</v>
      </c>
      <c r="W62" s="254" t="s">
        <v>2913</v>
      </c>
    </row>
    <row r="63" spans="2:30" ht="12" customHeight="1">
      <c r="G63" s="254" t="s">
        <v>3008</v>
      </c>
      <c r="I63" s="279" t="s">
        <v>2912</v>
      </c>
      <c r="J63" s="808" t="str">
        <f>cst_wskakunin_KAISU_TIKA_SHINSEI__zero</f>
        <v>0</v>
      </c>
      <c r="K63" s="808"/>
      <c r="L63" s="808"/>
      <c r="M63" s="808"/>
      <c r="N63" s="254" t="s">
        <v>3007</v>
      </c>
      <c r="O63" s="254" t="s">
        <v>2913</v>
      </c>
      <c r="Q63" s="279" t="s">
        <v>2912</v>
      </c>
      <c r="R63" s="808" t="str">
        <f>cst_wskakunin_KAISU_TIKA_SONOTA</f>
        <v/>
      </c>
      <c r="S63" s="808"/>
      <c r="T63" s="808"/>
      <c r="U63" s="808"/>
      <c r="V63" s="254" t="s">
        <v>3007</v>
      </c>
      <c r="W63" s="254" t="s">
        <v>2913</v>
      </c>
    </row>
    <row r="64" spans="2:30" ht="12" customHeight="1">
      <c r="D64" s="254" t="s">
        <v>3009</v>
      </c>
      <c r="G64" s="254" t="s">
        <v>1695</v>
      </c>
      <c r="I64" s="279" t="s">
        <v>2912</v>
      </c>
      <c r="J64" s="778" t="str">
        <f>cst_wskakunin_KOUZOU1</f>
        <v/>
      </c>
      <c r="K64" s="778"/>
      <c r="L64" s="778"/>
      <c r="M64" s="778"/>
      <c r="O64" s="254" t="s">
        <v>2913</v>
      </c>
      <c r="P64" s="279"/>
      <c r="Q64" s="279" t="s">
        <v>2912</v>
      </c>
      <c r="R64" s="778" t="str">
        <f>cst_wskakunin_KOUZOU2</f>
        <v/>
      </c>
      <c r="S64" s="778"/>
      <c r="T64" s="778"/>
      <c r="U64" s="778"/>
      <c r="V64" s="778"/>
      <c r="W64" s="254" t="s">
        <v>2913</v>
      </c>
    </row>
    <row r="65" spans="2:30" ht="12" customHeight="1">
      <c r="D65" s="254" t="s">
        <v>3010</v>
      </c>
      <c r="S65" s="271" t="str">
        <f>cst_wskakunin_TOKUREI_TAKASA_box_on</f>
        <v>□</v>
      </c>
      <c r="T65" s="254" t="s">
        <v>3011</v>
      </c>
      <c r="V65" s="271" t="str">
        <f>cst_wskakunin_TOKUREI_TAKASA_box_off</f>
        <v>□</v>
      </c>
      <c r="W65" s="254" t="s">
        <v>3012</v>
      </c>
    </row>
    <row r="66" spans="2:30" ht="12" customHeight="1">
      <c r="D66" s="254" t="s">
        <v>3013</v>
      </c>
    </row>
    <row r="67" spans="2:30" ht="12" customHeight="1">
      <c r="B67" s="260"/>
      <c r="C67" s="260"/>
      <c r="D67" s="260"/>
      <c r="E67" s="260"/>
      <c r="F67" s="277" t="str">
        <f>cst_wskakunin_TOKUREI_TAKASA_DOURO</f>
        <v>□</v>
      </c>
      <c r="G67" s="260" t="s">
        <v>3014</v>
      </c>
      <c r="H67" s="260"/>
      <c r="I67" s="260"/>
      <c r="J67" s="260"/>
      <c r="K67" s="260"/>
      <c r="L67" s="260"/>
      <c r="M67" s="277" t="str">
        <f>cst_wskakunin_TOKUREI_TAKASA_RINTI</f>
        <v>□</v>
      </c>
      <c r="N67" s="260" t="s">
        <v>2148</v>
      </c>
      <c r="O67" s="260"/>
      <c r="P67" s="260"/>
      <c r="Q67" s="260"/>
      <c r="R67" s="260"/>
      <c r="S67" s="260"/>
      <c r="T67" s="277" t="str">
        <f>cst_wskakunin_TOKUREI_TAKASA_KITA</f>
        <v>□</v>
      </c>
      <c r="U67" s="260" t="s">
        <v>2151</v>
      </c>
      <c r="V67" s="260"/>
      <c r="W67" s="260"/>
      <c r="X67" s="260"/>
      <c r="Y67" s="260"/>
      <c r="Z67" s="260"/>
      <c r="AA67" s="260"/>
      <c r="AB67" s="260"/>
      <c r="AC67" s="260"/>
      <c r="AD67" s="260"/>
    </row>
    <row r="68" spans="2:30" ht="12" customHeight="1">
      <c r="C68" s="12" t="s">
        <v>3015</v>
      </c>
      <c r="H68" s="811" t="str">
        <f>cst_wskakunin_kyoka_HOUREI_all</f>
        <v/>
      </c>
      <c r="I68" s="811"/>
      <c r="J68" s="811"/>
      <c r="K68" s="811"/>
      <c r="L68" s="811"/>
      <c r="M68" s="811"/>
      <c r="N68" s="811"/>
      <c r="O68" s="811"/>
      <c r="P68" s="811"/>
      <c r="Q68" s="811"/>
      <c r="R68" s="811"/>
      <c r="S68" s="811"/>
      <c r="T68" s="811"/>
      <c r="U68" s="811"/>
      <c r="V68" s="811"/>
      <c r="W68" s="811"/>
      <c r="X68" s="811"/>
      <c r="Y68" s="811"/>
      <c r="Z68" s="811"/>
      <c r="AA68" s="811"/>
      <c r="AB68" s="811"/>
      <c r="AC68" s="811"/>
      <c r="AD68" s="811"/>
    </row>
    <row r="69" spans="2:30" ht="11.1" customHeight="1">
      <c r="H69" s="811"/>
      <c r="I69" s="811"/>
      <c r="J69" s="811"/>
      <c r="K69" s="811"/>
      <c r="L69" s="811"/>
      <c r="M69" s="811"/>
      <c r="N69" s="811"/>
      <c r="O69" s="811"/>
      <c r="P69" s="811"/>
      <c r="Q69" s="811"/>
      <c r="R69" s="811"/>
      <c r="S69" s="811"/>
      <c r="T69" s="811"/>
      <c r="U69" s="811"/>
      <c r="V69" s="811"/>
      <c r="W69" s="811"/>
      <c r="X69" s="811"/>
      <c r="Y69" s="811"/>
      <c r="Z69" s="811"/>
      <c r="AA69" s="811"/>
      <c r="AB69" s="811"/>
      <c r="AC69" s="811"/>
      <c r="AD69" s="811"/>
    </row>
    <row r="70" spans="2:30" ht="11.1" customHeight="1">
      <c r="H70" s="811"/>
      <c r="I70" s="811"/>
      <c r="J70" s="811"/>
      <c r="K70" s="811"/>
      <c r="L70" s="811"/>
      <c r="M70" s="811"/>
      <c r="N70" s="811"/>
      <c r="O70" s="811"/>
      <c r="P70" s="811"/>
      <c r="Q70" s="811"/>
      <c r="R70" s="811"/>
      <c r="S70" s="811"/>
      <c r="T70" s="811"/>
      <c r="U70" s="811"/>
      <c r="V70" s="811"/>
      <c r="W70" s="811"/>
      <c r="X70" s="811"/>
      <c r="Y70" s="811"/>
      <c r="Z70" s="811"/>
      <c r="AA70" s="811"/>
      <c r="AB70" s="811"/>
      <c r="AC70" s="811"/>
      <c r="AD70" s="811"/>
    </row>
    <row r="71" spans="2:30" ht="12" customHeight="1">
      <c r="B71" s="269"/>
      <c r="C71" s="270" t="s">
        <v>3016</v>
      </c>
      <c r="D71" s="269"/>
      <c r="E71" s="269"/>
      <c r="F71" s="269"/>
      <c r="G71" s="269"/>
      <c r="H71" s="269"/>
      <c r="I71" s="269"/>
      <c r="J71" s="817" t="str">
        <f>cst_wskakunin_KOUJI_TYAKUSYU_YOTEI_DATE</f>
        <v/>
      </c>
      <c r="K71" s="817"/>
      <c r="L71" s="817"/>
      <c r="M71" s="817"/>
      <c r="N71" s="817"/>
      <c r="O71" s="817"/>
      <c r="P71" s="817"/>
      <c r="Q71" s="817"/>
      <c r="R71" s="269"/>
      <c r="S71" s="269"/>
      <c r="T71" s="269"/>
      <c r="U71" s="269"/>
      <c r="V71" s="269"/>
      <c r="W71" s="269"/>
      <c r="X71" s="269"/>
      <c r="Y71" s="269"/>
      <c r="Z71" s="269"/>
      <c r="AA71" s="269"/>
      <c r="AB71" s="269"/>
      <c r="AC71" s="269"/>
      <c r="AD71" s="269"/>
    </row>
    <row r="72" spans="2:30" ht="12" customHeight="1">
      <c r="B72" s="269"/>
      <c r="C72" s="270" t="s">
        <v>3017</v>
      </c>
      <c r="D72" s="269"/>
      <c r="E72" s="269"/>
      <c r="F72" s="269"/>
      <c r="G72" s="269"/>
      <c r="H72" s="269"/>
      <c r="I72" s="269"/>
      <c r="J72" s="817" t="str">
        <f>cst_wskakunin_KOUJI_KANRYOU_YOTEI_DATE</f>
        <v/>
      </c>
      <c r="K72" s="817"/>
      <c r="L72" s="817"/>
      <c r="M72" s="817"/>
      <c r="N72" s="817"/>
      <c r="O72" s="817"/>
      <c r="P72" s="817"/>
      <c r="Q72" s="817"/>
      <c r="R72" s="269"/>
      <c r="S72" s="269"/>
      <c r="T72" s="269"/>
      <c r="U72" s="269"/>
      <c r="V72" s="269"/>
      <c r="W72" s="269"/>
      <c r="X72" s="269"/>
      <c r="Y72" s="269"/>
      <c r="Z72" s="269"/>
      <c r="AA72" s="269"/>
      <c r="AB72" s="269"/>
      <c r="AC72" s="269"/>
      <c r="AD72" s="269"/>
    </row>
    <row r="73" spans="2:30" ht="12" customHeight="1">
      <c r="C73" s="12" t="s">
        <v>3018</v>
      </c>
      <c r="P73" s="279" t="s">
        <v>2912</v>
      </c>
      <c r="Q73" s="799" t="s">
        <v>2213</v>
      </c>
      <c r="R73" s="799"/>
      <c r="S73" s="799"/>
      <c r="T73" s="799"/>
      <c r="U73" s="799"/>
      <c r="V73" s="799"/>
      <c r="W73" s="799"/>
      <c r="X73" s="799"/>
      <c r="Y73" s="799"/>
      <c r="Z73" s="799"/>
      <c r="AA73" s="799"/>
      <c r="AB73" s="799"/>
      <c r="AC73" s="254" t="s">
        <v>2913</v>
      </c>
    </row>
    <row r="74" spans="2:30" ht="12" customHeight="1">
      <c r="E74" s="279" t="s">
        <v>3019</v>
      </c>
      <c r="F74" s="545" t="str">
        <f>cst_wskakunin_koutei01_KOUTEI_KAISUU</f>
        <v/>
      </c>
      <c r="G74" s="254" t="s">
        <v>3020</v>
      </c>
      <c r="J74" s="814" t="str">
        <f>cst_wskakunin_koutei01_KOUTEI_DATE</f>
        <v/>
      </c>
      <c r="K74" s="814"/>
      <c r="L74" s="814"/>
      <c r="M74" s="814"/>
      <c r="N74" s="814"/>
      <c r="P74" s="279" t="s">
        <v>2912</v>
      </c>
      <c r="Q74" s="791" t="str">
        <f>cst_wskakunin_koutei01_KOUTEI_TEXT</f>
        <v/>
      </c>
      <c r="R74" s="791"/>
      <c r="S74" s="791"/>
      <c r="T74" s="791"/>
      <c r="U74" s="791"/>
      <c r="V74" s="791"/>
      <c r="W74" s="791"/>
      <c r="X74" s="791"/>
      <c r="Y74" s="791"/>
      <c r="Z74" s="791"/>
      <c r="AA74" s="791"/>
      <c r="AB74" s="791"/>
      <c r="AC74" s="254" t="s">
        <v>2913</v>
      </c>
    </row>
    <row r="75" spans="2:30" ht="12" customHeight="1">
      <c r="E75" s="279" t="s">
        <v>3019</v>
      </c>
      <c r="F75" s="545" t="str">
        <f>cst_wskakunin_koutei02_KOUTEI_KAISUU</f>
        <v/>
      </c>
      <c r="G75" s="254" t="s">
        <v>3020</v>
      </c>
      <c r="J75" s="814" t="str">
        <f>cst_wskakunin_koutei02_KOUTEI_DATE</f>
        <v/>
      </c>
      <c r="K75" s="814"/>
      <c r="L75" s="814"/>
      <c r="M75" s="814"/>
      <c r="N75" s="814"/>
      <c r="P75" s="279" t="s">
        <v>2912</v>
      </c>
      <c r="Q75" s="791" t="str">
        <f>cst_wskakunin_koutei02_KOUTEI_TEXT</f>
        <v/>
      </c>
      <c r="R75" s="791"/>
      <c r="S75" s="791"/>
      <c r="T75" s="791"/>
      <c r="U75" s="791"/>
      <c r="V75" s="791"/>
      <c r="W75" s="791"/>
      <c r="X75" s="791"/>
      <c r="Y75" s="791"/>
      <c r="Z75" s="791"/>
      <c r="AA75" s="791"/>
      <c r="AB75" s="791"/>
      <c r="AC75" s="254" t="s">
        <v>2913</v>
      </c>
    </row>
    <row r="76" spans="2:30" ht="12" customHeight="1">
      <c r="B76" s="260"/>
      <c r="C76" s="260"/>
      <c r="D76" s="260"/>
      <c r="E76" s="278" t="s">
        <v>3019</v>
      </c>
      <c r="F76" s="546" t="str">
        <f>cst_wskakunin_koutei03_KOUTEI_KAISUU</f>
        <v/>
      </c>
      <c r="G76" s="260" t="s">
        <v>3020</v>
      </c>
      <c r="H76" s="260"/>
      <c r="I76" s="260"/>
      <c r="J76" s="815" t="str">
        <f>cst_wskakunin_koutei03_KOUTEI_DATE</f>
        <v/>
      </c>
      <c r="K76" s="815"/>
      <c r="L76" s="815"/>
      <c r="M76" s="815"/>
      <c r="N76" s="815"/>
      <c r="O76" s="260"/>
      <c r="P76" s="278" t="s">
        <v>2912</v>
      </c>
      <c r="Q76" s="816" t="str">
        <f>cst_wskakunin_koutei03_KOUTEI_TEXT</f>
        <v/>
      </c>
      <c r="R76" s="816"/>
      <c r="S76" s="816"/>
      <c r="T76" s="816"/>
      <c r="U76" s="816"/>
      <c r="V76" s="816"/>
      <c r="W76" s="816"/>
      <c r="X76" s="816"/>
      <c r="Y76" s="816"/>
      <c r="Z76" s="816"/>
      <c r="AA76" s="816"/>
      <c r="AB76" s="816"/>
      <c r="AC76" s="260" t="s">
        <v>2913</v>
      </c>
      <c r="AD76" s="260"/>
    </row>
    <row r="77" spans="2:30" ht="12" customHeight="1">
      <c r="C77" s="273" t="s">
        <v>3021</v>
      </c>
      <c r="I77" s="283"/>
      <c r="J77" s="283"/>
      <c r="K77" s="283"/>
      <c r="L77" s="283"/>
      <c r="M77" s="283"/>
      <c r="N77" s="283"/>
      <c r="O77" s="283"/>
      <c r="P77" s="283"/>
      <c r="Q77" s="283"/>
      <c r="R77" s="283"/>
      <c r="S77" s="283"/>
      <c r="T77" s="283"/>
      <c r="U77" s="283"/>
      <c r="V77" s="283"/>
      <c r="W77" s="283"/>
      <c r="X77" s="283"/>
      <c r="Y77" s="283"/>
      <c r="Z77" s="283"/>
      <c r="AA77" s="283"/>
      <c r="AB77" s="283"/>
      <c r="AC77" s="283"/>
      <c r="AD77" s="283"/>
    </row>
    <row r="78" spans="2:30" ht="11.1" customHeight="1">
      <c r="B78" s="260"/>
      <c r="C78" s="260"/>
      <c r="D78" s="260"/>
      <c r="E78" s="260"/>
      <c r="F78" s="478" t="str">
        <f>cst_wskakunin_KITEI_CHOUSA_FLAG_box_on</f>
        <v>□</v>
      </c>
      <c r="G78" s="260" t="s">
        <v>3022</v>
      </c>
      <c r="H78" s="260"/>
      <c r="I78" s="547"/>
      <c r="J78" s="548" t="str">
        <f>cst_wskakunin_KITEI_CHOUSA_FLAG_box_off</f>
        <v>□</v>
      </c>
      <c r="K78" s="547" t="s">
        <v>3023</v>
      </c>
      <c r="L78" s="547"/>
      <c r="M78" s="547"/>
      <c r="N78" s="547"/>
      <c r="O78" s="547"/>
      <c r="P78" s="547"/>
      <c r="Q78" s="547"/>
      <c r="R78" s="547"/>
      <c r="S78" s="547"/>
      <c r="T78" s="547"/>
      <c r="U78" s="547"/>
      <c r="V78" s="547"/>
      <c r="W78" s="547"/>
      <c r="X78" s="547"/>
      <c r="Y78" s="547"/>
      <c r="Z78" s="547"/>
      <c r="AA78" s="547"/>
      <c r="AB78" s="547"/>
      <c r="AC78" s="547"/>
      <c r="AD78" s="547"/>
    </row>
    <row r="79" spans="2:30" ht="12" customHeight="1">
      <c r="C79" s="273" t="s">
        <v>3024</v>
      </c>
      <c r="I79" s="283"/>
      <c r="J79" s="283"/>
      <c r="K79" s="283"/>
      <c r="L79" s="283"/>
      <c r="M79" s="283"/>
      <c r="N79" s="283"/>
      <c r="O79" s="283"/>
      <c r="P79" s="283"/>
      <c r="Q79" s="283"/>
      <c r="R79" s="283"/>
      <c r="S79" s="283"/>
      <c r="T79" s="283"/>
      <c r="U79" s="283"/>
      <c r="V79" s="283"/>
      <c r="W79" s="283"/>
      <c r="X79" s="283"/>
      <c r="Y79" s="283"/>
      <c r="Z79" s="283"/>
      <c r="AA79" s="283"/>
      <c r="AB79" s="283"/>
      <c r="AC79" s="283"/>
      <c r="AD79" s="283"/>
    </row>
    <row r="80" spans="2:30" ht="11.1" customHeight="1">
      <c r="B80" s="260"/>
      <c r="F80" s="282" t="str">
        <f>cst_wskakunin_BOUKA_SETUBI_FLAG_box_on</f>
        <v>□</v>
      </c>
      <c r="G80" s="254" t="s">
        <v>3011</v>
      </c>
      <c r="I80" s="283"/>
      <c r="J80" s="549" t="str">
        <f>cst_wskakunin_BOUKA_SETUBI_FLAG_box_off</f>
        <v>□</v>
      </c>
      <c r="K80" s="283" t="s">
        <v>3012</v>
      </c>
      <c r="L80" s="283"/>
      <c r="M80" s="283"/>
      <c r="N80" s="283"/>
      <c r="O80" s="283"/>
      <c r="P80" s="283"/>
      <c r="Q80" s="283"/>
      <c r="R80" s="283"/>
      <c r="S80" s="283"/>
      <c r="T80" s="283"/>
      <c r="U80" s="283"/>
      <c r="V80" s="283"/>
      <c r="W80" s="283"/>
      <c r="X80" s="283"/>
      <c r="Y80" s="283"/>
      <c r="Z80" s="283"/>
      <c r="AA80" s="283"/>
      <c r="AB80" s="283"/>
      <c r="AC80" s="283"/>
      <c r="AD80" s="283"/>
    </row>
    <row r="81" spans="2:30" ht="12" customHeight="1">
      <c r="C81" s="735" t="s">
        <v>3025</v>
      </c>
      <c r="D81" s="732"/>
      <c r="E81" s="732"/>
      <c r="F81" s="732"/>
      <c r="G81" s="732"/>
      <c r="H81" s="732"/>
      <c r="I81" s="810" t="str">
        <f>cst_wskakunin_P3_SONOTA</f>
        <v/>
      </c>
      <c r="J81" s="810"/>
      <c r="K81" s="810"/>
      <c r="L81" s="810"/>
      <c r="M81" s="810"/>
      <c r="N81" s="810"/>
      <c r="O81" s="810"/>
      <c r="P81" s="810"/>
      <c r="Q81" s="810"/>
      <c r="R81" s="810"/>
      <c r="S81" s="810"/>
      <c r="T81" s="810"/>
      <c r="U81" s="810"/>
      <c r="V81" s="810"/>
      <c r="W81" s="810"/>
      <c r="X81" s="810"/>
      <c r="Y81" s="810"/>
      <c r="Z81" s="810"/>
      <c r="AA81" s="810"/>
      <c r="AB81" s="810"/>
      <c r="AC81" s="810"/>
      <c r="AD81" s="810"/>
    </row>
    <row r="82" spans="2:30" ht="11.1" customHeight="1">
      <c r="I82" s="811"/>
      <c r="J82" s="811"/>
      <c r="K82" s="811"/>
      <c r="L82" s="811"/>
      <c r="M82" s="811"/>
      <c r="N82" s="811"/>
      <c r="O82" s="811"/>
      <c r="P82" s="811"/>
      <c r="Q82" s="811"/>
      <c r="R82" s="811"/>
      <c r="S82" s="811"/>
      <c r="T82" s="811"/>
      <c r="U82" s="811"/>
      <c r="V82" s="811"/>
      <c r="W82" s="811"/>
      <c r="X82" s="811"/>
      <c r="Y82" s="811"/>
      <c r="Z82" s="811"/>
      <c r="AA82" s="811"/>
      <c r="AB82" s="811"/>
      <c r="AC82" s="811"/>
      <c r="AD82" s="811"/>
    </row>
    <row r="83" spans="2:30">
      <c r="B83" s="732"/>
      <c r="C83" s="732" t="s">
        <v>3026</v>
      </c>
      <c r="D83" s="732"/>
      <c r="E83" s="732"/>
      <c r="F83" s="732"/>
      <c r="G83" s="732"/>
      <c r="H83" s="732"/>
      <c r="I83" s="812" t="str">
        <f>cst_wskakunin_P3_BIKOU</f>
        <v/>
      </c>
      <c r="J83" s="812"/>
      <c r="K83" s="812"/>
      <c r="L83" s="812"/>
      <c r="M83" s="812"/>
      <c r="N83" s="812"/>
      <c r="O83" s="812"/>
      <c r="P83" s="812"/>
      <c r="Q83" s="812"/>
      <c r="R83" s="812"/>
      <c r="S83" s="812"/>
      <c r="T83" s="812"/>
      <c r="U83" s="812"/>
      <c r="V83" s="812"/>
      <c r="W83" s="812"/>
      <c r="X83" s="812"/>
      <c r="Y83" s="812"/>
      <c r="Z83" s="812"/>
      <c r="AA83" s="812"/>
      <c r="AB83" s="812"/>
      <c r="AC83" s="812"/>
      <c r="AD83" s="812"/>
    </row>
    <row r="84" spans="2:30">
      <c r="I84" s="813"/>
      <c r="J84" s="813"/>
      <c r="K84" s="813"/>
      <c r="L84" s="813"/>
      <c r="M84" s="813"/>
      <c r="N84" s="813"/>
      <c r="O84" s="813"/>
      <c r="P84" s="813"/>
      <c r="Q84" s="813"/>
      <c r="R84" s="813"/>
      <c r="S84" s="813"/>
      <c r="T84" s="813"/>
      <c r="U84" s="813"/>
      <c r="V84" s="813"/>
      <c r="W84" s="813"/>
      <c r="X84" s="813"/>
      <c r="Y84" s="813"/>
      <c r="Z84" s="813"/>
      <c r="AA84" s="813"/>
      <c r="AB84" s="813"/>
      <c r="AC84" s="813"/>
      <c r="AD84" s="813"/>
    </row>
    <row r="85" spans="2:30">
      <c r="I85" s="813"/>
      <c r="J85" s="813"/>
      <c r="K85" s="813"/>
      <c r="L85" s="813"/>
      <c r="M85" s="813"/>
      <c r="N85" s="813"/>
      <c r="O85" s="813"/>
      <c r="P85" s="813"/>
      <c r="Q85" s="813"/>
      <c r="R85" s="813"/>
      <c r="S85" s="813"/>
      <c r="T85" s="813"/>
      <c r="U85" s="813"/>
      <c r="V85" s="813"/>
      <c r="W85" s="813"/>
      <c r="X85" s="813"/>
      <c r="Y85" s="813"/>
      <c r="Z85" s="813"/>
      <c r="AA85" s="813"/>
      <c r="AB85" s="813"/>
      <c r="AC85" s="813"/>
      <c r="AD85" s="813"/>
    </row>
  </sheetData>
  <mergeCells count="118">
    <mergeCell ref="I81:AD82"/>
    <mergeCell ref="I83:AD85"/>
    <mergeCell ref="J74:N74"/>
    <mergeCell ref="Q74:AB74"/>
    <mergeCell ref="J75:N75"/>
    <mergeCell ref="Q75:AB75"/>
    <mergeCell ref="J76:N76"/>
    <mergeCell ref="Q76:AB76"/>
    <mergeCell ref="J64:M64"/>
    <mergeCell ref="R64:V64"/>
    <mergeCell ref="H68:AD70"/>
    <mergeCell ref="J71:Q71"/>
    <mergeCell ref="J72:Q72"/>
    <mergeCell ref="Q73:AB73"/>
    <mergeCell ref="J61:M61"/>
    <mergeCell ref="R61:U61"/>
    <mergeCell ref="J62:M62"/>
    <mergeCell ref="R62:U62"/>
    <mergeCell ref="J63:M63"/>
    <mergeCell ref="R63:U63"/>
    <mergeCell ref="M55:O55"/>
    <mergeCell ref="M56:O56"/>
    <mergeCell ref="M58:N58"/>
    <mergeCell ref="M59:N59"/>
    <mergeCell ref="J60:N60"/>
    <mergeCell ref="R60:V60"/>
    <mergeCell ref="M53:O53"/>
    <mergeCell ref="S53:V53"/>
    <mergeCell ref="Z53:AB53"/>
    <mergeCell ref="M54:O54"/>
    <mergeCell ref="S54:V54"/>
    <mergeCell ref="Z54:AB54"/>
    <mergeCell ref="M51:O51"/>
    <mergeCell ref="S51:V51"/>
    <mergeCell ref="Z51:AB51"/>
    <mergeCell ref="M52:O52"/>
    <mergeCell ref="S52:V52"/>
    <mergeCell ref="Z52:AB52"/>
    <mergeCell ref="M49:O49"/>
    <mergeCell ref="S49:V49"/>
    <mergeCell ref="Z49:AB49"/>
    <mergeCell ref="M50:O50"/>
    <mergeCell ref="S50:V50"/>
    <mergeCell ref="Z50:AB50"/>
    <mergeCell ref="M47:O47"/>
    <mergeCell ref="S47:V47"/>
    <mergeCell ref="Z47:AB47"/>
    <mergeCell ref="M48:O48"/>
    <mergeCell ref="S48:V48"/>
    <mergeCell ref="Z48:AB48"/>
    <mergeCell ref="M45:O45"/>
    <mergeCell ref="S45:V45"/>
    <mergeCell ref="Z45:AB45"/>
    <mergeCell ref="M46:O46"/>
    <mergeCell ref="S46:V46"/>
    <mergeCell ref="Z46:AB46"/>
    <mergeCell ref="M42:O42"/>
    <mergeCell ref="S42:V42"/>
    <mergeCell ref="Z42:AB42"/>
    <mergeCell ref="M44:O44"/>
    <mergeCell ref="S44:V44"/>
    <mergeCell ref="Z44:AB44"/>
    <mergeCell ref="M39:O39"/>
    <mergeCell ref="S39:V39"/>
    <mergeCell ref="Z39:AB39"/>
    <mergeCell ref="M41:O41"/>
    <mergeCell ref="S41:V41"/>
    <mergeCell ref="Z41:AB41"/>
    <mergeCell ref="M36:O36"/>
    <mergeCell ref="S36:V36"/>
    <mergeCell ref="Z36:AB36"/>
    <mergeCell ref="M37:O37"/>
    <mergeCell ref="M38:P38"/>
    <mergeCell ref="S38:W38"/>
    <mergeCell ref="Z38:AC38"/>
    <mergeCell ref="M30:AD30"/>
    <mergeCell ref="M33:P33"/>
    <mergeCell ref="S33:W33"/>
    <mergeCell ref="Z33:AC33"/>
    <mergeCell ref="M34:O34"/>
    <mergeCell ref="S34:V34"/>
    <mergeCell ref="Z34:AB34"/>
    <mergeCell ref="Q25:S25"/>
    <mergeCell ref="T25:U25"/>
    <mergeCell ref="Q26:S26"/>
    <mergeCell ref="T26:U26"/>
    <mergeCell ref="H27:AD28"/>
    <mergeCell ref="F29:G29"/>
    <mergeCell ref="H29:K29"/>
    <mergeCell ref="M29:AD29"/>
    <mergeCell ref="I22:K22"/>
    <mergeCell ref="N22:P22"/>
    <mergeCell ref="S22:U22"/>
    <mergeCell ref="X22:Z22"/>
    <mergeCell ref="J23:L23"/>
    <mergeCell ref="J24:L24"/>
    <mergeCell ref="I20:K20"/>
    <mergeCell ref="N20:P20"/>
    <mergeCell ref="S20:U20"/>
    <mergeCell ref="X20:Z20"/>
    <mergeCell ref="I16:K16"/>
    <mergeCell ref="N16:P16"/>
    <mergeCell ref="S16:U16"/>
    <mergeCell ref="X16:Z16"/>
    <mergeCell ref="I17:K17"/>
    <mergeCell ref="N17:P17"/>
    <mergeCell ref="S17:U17"/>
    <mergeCell ref="X17:Z17"/>
    <mergeCell ref="C1:AD1"/>
    <mergeCell ref="G3:AD3"/>
    <mergeCell ref="G4:AD4"/>
    <mergeCell ref="G10:AD11"/>
    <mergeCell ref="M13:O13"/>
    <mergeCell ref="M14:O14"/>
    <mergeCell ref="I18:L18"/>
    <mergeCell ref="N18:Q18"/>
    <mergeCell ref="S18:V18"/>
    <mergeCell ref="X18:AA18"/>
  </mergeCells>
  <phoneticPr fontId="116"/>
  <printOptions horizontalCentered="1"/>
  <pageMargins left="0.59055118110236227" right="0.59055118110236227" top="0.39370078740157483" bottom="0.39370078740157483" header="0" footer="0.19685039370078741"/>
  <pageSetup paperSize="9" scale="84" fitToHeight="3"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77"/>
  <sheetViews>
    <sheetView zoomScaleNormal="100" zoomScaleSheetLayoutView="110" workbookViewId="0"/>
  </sheetViews>
  <sheetFormatPr defaultColWidth="9.125" defaultRowHeight="11.25"/>
  <cols>
    <col min="1" max="2" width="1.75" style="254" customWidth="1"/>
    <col min="3" max="3" width="2.875" style="254" customWidth="1"/>
    <col min="4" max="4" width="3" style="254" customWidth="1"/>
    <col min="5" max="6" width="3.625" style="254" customWidth="1"/>
    <col min="7" max="7" width="3.25" style="254" customWidth="1"/>
    <col min="8" max="8" width="1.375" style="254" customWidth="1"/>
    <col min="9" max="9" width="2.125" style="254" customWidth="1"/>
    <col min="10" max="11" width="3" style="254" customWidth="1"/>
    <col min="12" max="14" width="2.875" style="254" customWidth="1"/>
    <col min="15" max="15" width="3" style="254" customWidth="1"/>
    <col min="16" max="16" width="2.875" style="254" customWidth="1"/>
    <col min="17" max="17" width="2.125" style="254" customWidth="1"/>
    <col min="18" max="19" width="2.75" style="254" customWidth="1"/>
    <col min="20" max="21" width="2.125" style="254" customWidth="1"/>
    <col min="22" max="59" width="2.875" style="254" customWidth="1"/>
    <col min="60" max="256" width="9" style="254" customWidth="1"/>
    <col min="257" max="258" width="1.75" style="254" customWidth="1"/>
    <col min="259" max="259" width="2.875" style="254" customWidth="1"/>
    <col min="260" max="260" width="3" style="254" customWidth="1"/>
    <col min="261" max="262" width="3.625" style="254" customWidth="1"/>
    <col min="263" max="263" width="3.25" style="254" customWidth="1"/>
    <col min="264" max="264" width="1.375" style="254" customWidth="1"/>
    <col min="265" max="265" width="2.125" style="254" customWidth="1"/>
    <col min="266" max="267" width="3" style="254" customWidth="1"/>
    <col min="268" max="270" width="2.875" style="254" customWidth="1"/>
    <col min="271" max="271" width="3" style="254" customWidth="1"/>
    <col min="272" max="272" width="2.875" style="254" customWidth="1"/>
    <col min="273" max="273" width="2.125" style="254" customWidth="1"/>
    <col min="274" max="275" width="2.75" style="254" customWidth="1"/>
    <col min="276" max="277" width="2.125" style="254" customWidth="1"/>
    <col min="278" max="315" width="2.875" style="254" customWidth="1"/>
    <col min="316" max="512" width="9" style="254" customWidth="1"/>
    <col min="513" max="514" width="1.75" style="254" customWidth="1"/>
    <col min="515" max="515" width="2.875" style="254" customWidth="1"/>
    <col min="516" max="516" width="3" style="254" customWidth="1"/>
    <col min="517" max="518" width="3.625" style="254" customWidth="1"/>
    <col min="519" max="519" width="3.25" style="254" customWidth="1"/>
    <col min="520" max="520" width="1.375" style="254" customWidth="1"/>
    <col min="521" max="521" width="2.125" style="254" customWidth="1"/>
    <col min="522" max="523" width="3" style="254" customWidth="1"/>
    <col min="524" max="526" width="2.875" style="254" customWidth="1"/>
    <col min="527" max="527" width="3" style="254" customWidth="1"/>
    <col min="528" max="528" width="2.875" style="254" customWidth="1"/>
    <col min="529" max="529" width="2.125" style="254" customWidth="1"/>
    <col min="530" max="531" width="2.75" style="254" customWidth="1"/>
    <col min="532" max="533" width="2.125" style="254" customWidth="1"/>
    <col min="534" max="571" width="2.875" style="254" customWidth="1"/>
    <col min="572" max="768" width="9" style="254" customWidth="1"/>
    <col min="769" max="770" width="1.75" style="254" customWidth="1"/>
    <col min="771" max="771" width="2.875" style="254" customWidth="1"/>
    <col min="772" max="772" width="3" style="254" customWidth="1"/>
    <col min="773" max="774" width="3.625" style="254" customWidth="1"/>
    <col min="775" max="775" width="3.25" style="254" customWidth="1"/>
    <col min="776" max="776" width="1.375" style="254" customWidth="1"/>
    <col min="777" max="777" width="2.125" style="254" customWidth="1"/>
    <col min="778" max="779" width="3" style="254" customWidth="1"/>
    <col min="780" max="782" width="2.875" style="254" customWidth="1"/>
    <col min="783" max="783" width="3" style="254" customWidth="1"/>
    <col min="784" max="784" width="2.875" style="254" customWidth="1"/>
    <col min="785" max="785" width="2.125" style="254" customWidth="1"/>
    <col min="786" max="787" width="2.75" style="254" customWidth="1"/>
    <col min="788" max="789" width="2.125" style="254" customWidth="1"/>
    <col min="790" max="827" width="2.875" style="254" customWidth="1"/>
    <col min="828" max="1024" width="9" style="254" customWidth="1"/>
    <col min="1025" max="1026" width="1.75" style="254" customWidth="1"/>
    <col min="1027" max="1027" width="2.875" style="254" customWidth="1"/>
    <col min="1028" max="1028" width="3" style="254" customWidth="1"/>
    <col min="1029" max="1030" width="3.625" style="254" customWidth="1"/>
    <col min="1031" max="1031" width="3.25" style="254" customWidth="1"/>
    <col min="1032" max="1032" width="1.375" style="254" customWidth="1"/>
    <col min="1033" max="1033" width="2.125" style="254" customWidth="1"/>
    <col min="1034" max="1035" width="3" style="254" customWidth="1"/>
    <col min="1036" max="1038" width="2.875" style="254" customWidth="1"/>
    <col min="1039" max="1039" width="3" style="254" customWidth="1"/>
    <col min="1040" max="1040" width="2.875" style="254" customWidth="1"/>
    <col min="1041" max="1041" width="2.125" style="254" customWidth="1"/>
    <col min="1042" max="1043" width="2.75" style="254" customWidth="1"/>
    <col min="1044" max="1045" width="2.125" style="254" customWidth="1"/>
    <col min="1046" max="1083" width="2.875" style="254" customWidth="1"/>
    <col min="1084" max="1280" width="9" style="254" customWidth="1"/>
    <col min="1281" max="1282" width="1.75" style="254" customWidth="1"/>
    <col min="1283" max="1283" width="2.875" style="254" customWidth="1"/>
    <col min="1284" max="1284" width="3" style="254" customWidth="1"/>
    <col min="1285" max="1286" width="3.625" style="254" customWidth="1"/>
    <col min="1287" max="1287" width="3.25" style="254" customWidth="1"/>
    <col min="1288" max="1288" width="1.375" style="254" customWidth="1"/>
    <col min="1289" max="1289" width="2.125" style="254" customWidth="1"/>
    <col min="1290" max="1291" width="3" style="254" customWidth="1"/>
    <col min="1292" max="1294" width="2.875" style="254" customWidth="1"/>
    <col min="1295" max="1295" width="3" style="254" customWidth="1"/>
    <col min="1296" max="1296" width="2.875" style="254" customWidth="1"/>
    <col min="1297" max="1297" width="2.125" style="254" customWidth="1"/>
    <col min="1298" max="1299" width="2.75" style="254" customWidth="1"/>
    <col min="1300" max="1301" width="2.125" style="254" customWidth="1"/>
    <col min="1302" max="1339" width="2.875" style="254" customWidth="1"/>
    <col min="1340" max="1536" width="9" style="254" customWidth="1"/>
    <col min="1537" max="1538" width="1.75" style="254" customWidth="1"/>
    <col min="1539" max="1539" width="2.875" style="254" customWidth="1"/>
    <col min="1540" max="1540" width="3" style="254" customWidth="1"/>
    <col min="1541" max="1542" width="3.625" style="254" customWidth="1"/>
    <col min="1543" max="1543" width="3.25" style="254" customWidth="1"/>
    <col min="1544" max="1544" width="1.375" style="254" customWidth="1"/>
    <col min="1545" max="1545" width="2.125" style="254" customWidth="1"/>
    <col min="1546" max="1547" width="3" style="254" customWidth="1"/>
    <col min="1548" max="1550" width="2.875" style="254" customWidth="1"/>
    <col min="1551" max="1551" width="3" style="254" customWidth="1"/>
    <col min="1552" max="1552" width="2.875" style="254" customWidth="1"/>
    <col min="1553" max="1553" width="2.125" style="254" customWidth="1"/>
    <col min="1554" max="1555" width="2.75" style="254" customWidth="1"/>
    <col min="1556" max="1557" width="2.125" style="254" customWidth="1"/>
    <col min="1558" max="1595" width="2.875" style="254" customWidth="1"/>
    <col min="1596" max="1792" width="9" style="254" customWidth="1"/>
    <col min="1793" max="1794" width="1.75" style="254" customWidth="1"/>
    <col min="1795" max="1795" width="2.875" style="254" customWidth="1"/>
    <col min="1796" max="1796" width="3" style="254" customWidth="1"/>
    <col min="1797" max="1798" width="3.625" style="254" customWidth="1"/>
    <col min="1799" max="1799" width="3.25" style="254" customWidth="1"/>
    <col min="1800" max="1800" width="1.375" style="254" customWidth="1"/>
    <col min="1801" max="1801" width="2.125" style="254" customWidth="1"/>
    <col min="1802" max="1803" width="3" style="254" customWidth="1"/>
    <col min="1804" max="1806" width="2.875" style="254" customWidth="1"/>
    <col min="1807" max="1807" width="3" style="254" customWidth="1"/>
    <col min="1808" max="1808" width="2.875" style="254" customWidth="1"/>
    <col min="1809" max="1809" width="2.125" style="254" customWidth="1"/>
    <col min="1810" max="1811" width="2.75" style="254" customWidth="1"/>
    <col min="1812" max="1813" width="2.125" style="254" customWidth="1"/>
    <col min="1814" max="1851" width="2.875" style="254" customWidth="1"/>
    <col min="1852" max="2048" width="9" style="254" customWidth="1"/>
    <col min="2049" max="2050" width="1.75" style="254" customWidth="1"/>
    <col min="2051" max="2051" width="2.875" style="254" customWidth="1"/>
    <col min="2052" max="2052" width="3" style="254" customWidth="1"/>
    <col min="2053" max="2054" width="3.625" style="254" customWidth="1"/>
    <col min="2055" max="2055" width="3.25" style="254" customWidth="1"/>
    <col min="2056" max="2056" width="1.375" style="254" customWidth="1"/>
    <col min="2057" max="2057" width="2.125" style="254" customWidth="1"/>
    <col min="2058" max="2059" width="3" style="254" customWidth="1"/>
    <col min="2060" max="2062" width="2.875" style="254" customWidth="1"/>
    <col min="2063" max="2063" width="3" style="254" customWidth="1"/>
    <col min="2064" max="2064" width="2.875" style="254" customWidth="1"/>
    <col min="2065" max="2065" width="2.125" style="254" customWidth="1"/>
    <col min="2066" max="2067" width="2.75" style="254" customWidth="1"/>
    <col min="2068" max="2069" width="2.125" style="254" customWidth="1"/>
    <col min="2070" max="2107" width="2.875" style="254" customWidth="1"/>
    <col min="2108" max="2304" width="9" style="254" customWidth="1"/>
    <col min="2305" max="2306" width="1.75" style="254" customWidth="1"/>
    <col min="2307" max="2307" width="2.875" style="254" customWidth="1"/>
    <col min="2308" max="2308" width="3" style="254" customWidth="1"/>
    <col min="2309" max="2310" width="3.625" style="254" customWidth="1"/>
    <col min="2311" max="2311" width="3.25" style="254" customWidth="1"/>
    <col min="2312" max="2312" width="1.375" style="254" customWidth="1"/>
    <col min="2313" max="2313" width="2.125" style="254" customWidth="1"/>
    <col min="2314" max="2315" width="3" style="254" customWidth="1"/>
    <col min="2316" max="2318" width="2.875" style="254" customWidth="1"/>
    <col min="2319" max="2319" width="3" style="254" customWidth="1"/>
    <col min="2320" max="2320" width="2.875" style="254" customWidth="1"/>
    <col min="2321" max="2321" width="2.125" style="254" customWidth="1"/>
    <col min="2322" max="2323" width="2.75" style="254" customWidth="1"/>
    <col min="2324" max="2325" width="2.125" style="254" customWidth="1"/>
    <col min="2326" max="2363" width="2.875" style="254" customWidth="1"/>
    <col min="2364" max="2560" width="9" style="254" customWidth="1"/>
    <col min="2561" max="2562" width="1.75" style="254" customWidth="1"/>
    <col min="2563" max="2563" width="2.875" style="254" customWidth="1"/>
    <col min="2564" max="2564" width="3" style="254" customWidth="1"/>
    <col min="2565" max="2566" width="3.625" style="254" customWidth="1"/>
    <col min="2567" max="2567" width="3.25" style="254" customWidth="1"/>
    <col min="2568" max="2568" width="1.375" style="254" customWidth="1"/>
    <col min="2569" max="2569" width="2.125" style="254" customWidth="1"/>
    <col min="2570" max="2571" width="3" style="254" customWidth="1"/>
    <col min="2572" max="2574" width="2.875" style="254" customWidth="1"/>
    <col min="2575" max="2575" width="3" style="254" customWidth="1"/>
    <col min="2576" max="2576" width="2.875" style="254" customWidth="1"/>
    <col min="2577" max="2577" width="2.125" style="254" customWidth="1"/>
    <col min="2578" max="2579" width="2.75" style="254" customWidth="1"/>
    <col min="2580" max="2581" width="2.125" style="254" customWidth="1"/>
    <col min="2582" max="2619" width="2.875" style="254" customWidth="1"/>
    <col min="2620" max="2816" width="9" style="254" customWidth="1"/>
    <col min="2817" max="2818" width="1.75" style="254" customWidth="1"/>
    <col min="2819" max="2819" width="2.875" style="254" customWidth="1"/>
    <col min="2820" max="2820" width="3" style="254" customWidth="1"/>
    <col min="2821" max="2822" width="3.625" style="254" customWidth="1"/>
    <col min="2823" max="2823" width="3.25" style="254" customWidth="1"/>
    <col min="2824" max="2824" width="1.375" style="254" customWidth="1"/>
    <col min="2825" max="2825" width="2.125" style="254" customWidth="1"/>
    <col min="2826" max="2827" width="3" style="254" customWidth="1"/>
    <col min="2828" max="2830" width="2.875" style="254" customWidth="1"/>
    <col min="2831" max="2831" width="3" style="254" customWidth="1"/>
    <col min="2832" max="2832" width="2.875" style="254" customWidth="1"/>
    <col min="2833" max="2833" width="2.125" style="254" customWidth="1"/>
    <col min="2834" max="2835" width="2.75" style="254" customWidth="1"/>
    <col min="2836" max="2837" width="2.125" style="254" customWidth="1"/>
    <col min="2838" max="2875" width="2.875" style="254" customWidth="1"/>
    <col min="2876" max="3072" width="9" style="254" customWidth="1"/>
    <col min="3073" max="3074" width="1.75" style="254" customWidth="1"/>
    <col min="3075" max="3075" width="2.875" style="254" customWidth="1"/>
    <col min="3076" max="3076" width="3" style="254" customWidth="1"/>
    <col min="3077" max="3078" width="3.625" style="254" customWidth="1"/>
    <col min="3079" max="3079" width="3.25" style="254" customWidth="1"/>
    <col min="3080" max="3080" width="1.375" style="254" customWidth="1"/>
    <col min="3081" max="3081" width="2.125" style="254" customWidth="1"/>
    <col min="3082" max="3083" width="3" style="254" customWidth="1"/>
    <col min="3084" max="3086" width="2.875" style="254" customWidth="1"/>
    <col min="3087" max="3087" width="3" style="254" customWidth="1"/>
    <col min="3088" max="3088" width="2.875" style="254" customWidth="1"/>
    <col min="3089" max="3089" width="2.125" style="254" customWidth="1"/>
    <col min="3090" max="3091" width="2.75" style="254" customWidth="1"/>
    <col min="3092" max="3093" width="2.125" style="254" customWidth="1"/>
    <col min="3094" max="3131" width="2.875" style="254" customWidth="1"/>
    <col min="3132" max="3328" width="9" style="254" customWidth="1"/>
    <col min="3329" max="3330" width="1.75" style="254" customWidth="1"/>
    <col min="3331" max="3331" width="2.875" style="254" customWidth="1"/>
    <col min="3332" max="3332" width="3" style="254" customWidth="1"/>
    <col min="3333" max="3334" width="3.625" style="254" customWidth="1"/>
    <col min="3335" max="3335" width="3.25" style="254" customWidth="1"/>
    <col min="3336" max="3336" width="1.375" style="254" customWidth="1"/>
    <col min="3337" max="3337" width="2.125" style="254" customWidth="1"/>
    <col min="3338" max="3339" width="3" style="254" customWidth="1"/>
    <col min="3340" max="3342" width="2.875" style="254" customWidth="1"/>
    <col min="3343" max="3343" width="3" style="254" customWidth="1"/>
    <col min="3344" max="3344" width="2.875" style="254" customWidth="1"/>
    <col min="3345" max="3345" width="2.125" style="254" customWidth="1"/>
    <col min="3346" max="3347" width="2.75" style="254" customWidth="1"/>
    <col min="3348" max="3349" width="2.125" style="254" customWidth="1"/>
    <col min="3350" max="3387" width="2.875" style="254" customWidth="1"/>
    <col min="3388" max="3584" width="9" style="254" customWidth="1"/>
    <col min="3585" max="3586" width="1.75" style="254" customWidth="1"/>
    <col min="3587" max="3587" width="2.875" style="254" customWidth="1"/>
    <col min="3588" max="3588" width="3" style="254" customWidth="1"/>
    <col min="3589" max="3590" width="3.625" style="254" customWidth="1"/>
    <col min="3591" max="3591" width="3.25" style="254" customWidth="1"/>
    <col min="3592" max="3592" width="1.375" style="254" customWidth="1"/>
    <col min="3593" max="3593" width="2.125" style="254" customWidth="1"/>
    <col min="3594" max="3595" width="3" style="254" customWidth="1"/>
    <col min="3596" max="3598" width="2.875" style="254" customWidth="1"/>
    <col min="3599" max="3599" width="3" style="254" customWidth="1"/>
    <col min="3600" max="3600" width="2.875" style="254" customWidth="1"/>
    <col min="3601" max="3601" width="2.125" style="254" customWidth="1"/>
    <col min="3602" max="3603" width="2.75" style="254" customWidth="1"/>
    <col min="3604" max="3605" width="2.125" style="254" customWidth="1"/>
    <col min="3606" max="3643" width="2.875" style="254" customWidth="1"/>
    <col min="3644" max="3840" width="9" style="254" customWidth="1"/>
    <col min="3841" max="3842" width="1.75" style="254" customWidth="1"/>
    <col min="3843" max="3843" width="2.875" style="254" customWidth="1"/>
    <col min="3844" max="3844" width="3" style="254" customWidth="1"/>
    <col min="3845" max="3846" width="3.625" style="254" customWidth="1"/>
    <col min="3847" max="3847" width="3.25" style="254" customWidth="1"/>
    <col min="3848" max="3848" width="1.375" style="254" customWidth="1"/>
    <col min="3849" max="3849" width="2.125" style="254" customWidth="1"/>
    <col min="3850" max="3851" width="3" style="254" customWidth="1"/>
    <col min="3852" max="3854" width="2.875" style="254" customWidth="1"/>
    <col min="3855" max="3855" width="3" style="254" customWidth="1"/>
    <col min="3856" max="3856" width="2.875" style="254" customWidth="1"/>
    <col min="3857" max="3857" width="2.125" style="254" customWidth="1"/>
    <col min="3858" max="3859" width="2.75" style="254" customWidth="1"/>
    <col min="3860" max="3861" width="2.125" style="254" customWidth="1"/>
    <col min="3862" max="3899" width="2.875" style="254" customWidth="1"/>
    <col min="3900" max="4096" width="9" style="254" customWidth="1"/>
    <col min="4097" max="4098" width="1.75" style="254" customWidth="1"/>
    <col min="4099" max="4099" width="2.875" style="254" customWidth="1"/>
    <col min="4100" max="4100" width="3" style="254" customWidth="1"/>
    <col min="4101" max="4102" width="3.625" style="254" customWidth="1"/>
    <col min="4103" max="4103" width="3.25" style="254" customWidth="1"/>
    <col min="4104" max="4104" width="1.375" style="254" customWidth="1"/>
    <col min="4105" max="4105" width="2.125" style="254" customWidth="1"/>
    <col min="4106" max="4107" width="3" style="254" customWidth="1"/>
    <col min="4108" max="4110" width="2.875" style="254" customWidth="1"/>
    <col min="4111" max="4111" width="3" style="254" customWidth="1"/>
    <col min="4112" max="4112" width="2.875" style="254" customWidth="1"/>
    <col min="4113" max="4113" width="2.125" style="254" customWidth="1"/>
    <col min="4114" max="4115" width="2.75" style="254" customWidth="1"/>
    <col min="4116" max="4117" width="2.125" style="254" customWidth="1"/>
    <col min="4118" max="4155" width="2.875" style="254" customWidth="1"/>
    <col min="4156" max="4352" width="9" style="254" customWidth="1"/>
    <col min="4353" max="4354" width="1.75" style="254" customWidth="1"/>
    <col min="4355" max="4355" width="2.875" style="254" customWidth="1"/>
    <col min="4356" max="4356" width="3" style="254" customWidth="1"/>
    <col min="4357" max="4358" width="3.625" style="254" customWidth="1"/>
    <col min="4359" max="4359" width="3.25" style="254" customWidth="1"/>
    <col min="4360" max="4360" width="1.375" style="254" customWidth="1"/>
    <col min="4361" max="4361" width="2.125" style="254" customWidth="1"/>
    <col min="4362" max="4363" width="3" style="254" customWidth="1"/>
    <col min="4364" max="4366" width="2.875" style="254" customWidth="1"/>
    <col min="4367" max="4367" width="3" style="254" customWidth="1"/>
    <col min="4368" max="4368" width="2.875" style="254" customWidth="1"/>
    <col min="4369" max="4369" width="2.125" style="254" customWidth="1"/>
    <col min="4370" max="4371" width="2.75" style="254" customWidth="1"/>
    <col min="4372" max="4373" width="2.125" style="254" customWidth="1"/>
    <col min="4374" max="4411" width="2.875" style="254" customWidth="1"/>
    <col min="4412" max="4608" width="9" style="254" customWidth="1"/>
    <col min="4609" max="4610" width="1.75" style="254" customWidth="1"/>
    <col min="4611" max="4611" width="2.875" style="254" customWidth="1"/>
    <col min="4612" max="4612" width="3" style="254" customWidth="1"/>
    <col min="4613" max="4614" width="3.625" style="254" customWidth="1"/>
    <col min="4615" max="4615" width="3.25" style="254" customWidth="1"/>
    <col min="4616" max="4616" width="1.375" style="254" customWidth="1"/>
    <col min="4617" max="4617" width="2.125" style="254" customWidth="1"/>
    <col min="4618" max="4619" width="3" style="254" customWidth="1"/>
    <col min="4620" max="4622" width="2.875" style="254" customWidth="1"/>
    <col min="4623" max="4623" width="3" style="254" customWidth="1"/>
    <col min="4624" max="4624" width="2.875" style="254" customWidth="1"/>
    <col min="4625" max="4625" width="2.125" style="254" customWidth="1"/>
    <col min="4626" max="4627" width="2.75" style="254" customWidth="1"/>
    <col min="4628" max="4629" width="2.125" style="254" customWidth="1"/>
    <col min="4630" max="4667" width="2.875" style="254" customWidth="1"/>
    <col min="4668" max="4864" width="9" style="254" customWidth="1"/>
    <col min="4865" max="4866" width="1.75" style="254" customWidth="1"/>
    <col min="4867" max="4867" width="2.875" style="254" customWidth="1"/>
    <col min="4868" max="4868" width="3" style="254" customWidth="1"/>
    <col min="4869" max="4870" width="3.625" style="254" customWidth="1"/>
    <col min="4871" max="4871" width="3.25" style="254" customWidth="1"/>
    <col min="4872" max="4872" width="1.375" style="254" customWidth="1"/>
    <col min="4873" max="4873" width="2.125" style="254" customWidth="1"/>
    <col min="4874" max="4875" width="3" style="254" customWidth="1"/>
    <col min="4876" max="4878" width="2.875" style="254" customWidth="1"/>
    <col min="4879" max="4879" width="3" style="254" customWidth="1"/>
    <col min="4880" max="4880" width="2.875" style="254" customWidth="1"/>
    <col min="4881" max="4881" width="2.125" style="254" customWidth="1"/>
    <col min="4882" max="4883" width="2.75" style="254" customWidth="1"/>
    <col min="4884" max="4885" width="2.125" style="254" customWidth="1"/>
    <col min="4886" max="4923" width="2.875" style="254" customWidth="1"/>
    <col min="4924" max="5120" width="9" style="254" customWidth="1"/>
    <col min="5121" max="5122" width="1.75" style="254" customWidth="1"/>
    <col min="5123" max="5123" width="2.875" style="254" customWidth="1"/>
    <col min="5124" max="5124" width="3" style="254" customWidth="1"/>
    <col min="5125" max="5126" width="3.625" style="254" customWidth="1"/>
    <col min="5127" max="5127" width="3.25" style="254" customWidth="1"/>
    <col min="5128" max="5128" width="1.375" style="254" customWidth="1"/>
    <col min="5129" max="5129" width="2.125" style="254" customWidth="1"/>
    <col min="5130" max="5131" width="3" style="254" customWidth="1"/>
    <col min="5132" max="5134" width="2.875" style="254" customWidth="1"/>
    <col min="5135" max="5135" width="3" style="254" customWidth="1"/>
    <col min="5136" max="5136" width="2.875" style="254" customWidth="1"/>
    <col min="5137" max="5137" width="2.125" style="254" customWidth="1"/>
    <col min="5138" max="5139" width="2.75" style="254" customWidth="1"/>
    <col min="5140" max="5141" width="2.125" style="254" customWidth="1"/>
    <col min="5142" max="5179" width="2.875" style="254" customWidth="1"/>
    <col min="5180" max="5376" width="9" style="254" customWidth="1"/>
    <col min="5377" max="5378" width="1.75" style="254" customWidth="1"/>
    <col min="5379" max="5379" width="2.875" style="254" customWidth="1"/>
    <col min="5380" max="5380" width="3" style="254" customWidth="1"/>
    <col min="5381" max="5382" width="3.625" style="254" customWidth="1"/>
    <col min="5383" max="5383" width="3.25" style="254" customWidth="1"/>
    <col min="5384" max="5384" width="1.375" style="254" customWidth="1"/>
    <col min="5385" max="5385" width="2.125" style="254" customWidth="1"/>
    <col min="5386" max="5387" width="3" style="254" customWidth="1"/>
    <col min="5388" max="5390" width="2.875" style="254" customWidth="1"/>
    <col min="5391" max="5391" width="3" style="254" customWidth="1"/>
    <col min="5392" max="5392" width="2.875" style="254" customWidth="1"/>
    <col min="5393" max="5393" width="2.125" style="254" customWidth="1"/>
    <col min="5394" max="5395" width="2.75" style="254" customWidth="1"/>
    <col min="5396" max="5397" width="2.125" style="254" customWidth="1"/>
    <col min="5398" max="5435" width="2.875" style="254" customWidth="1"/>
    <col min="5436" max="5632" width="9" style="254" customWidth="1"/>
    <col min="5633" max="5634" width="1.75" style="254" customWidth="1"/>
    <col min="5635" max="5635" width="2.875" style="254" customWidth="1"/>
    <col min="5636" max="5636" width="3" style="254" customWidth="1"/>
    <col min="5637" max="5638" width="3.625" style="254" customWidth="1"/>
    <col min="5639" max="5639" width="3.25" style="254" customWidth="1"/>
    <col min="5640" max="5640" width="1.375" style="254" customWidth="1"/>
    <col min="5641" max="5641" width="2.125" style="254" customWidth="1"/>
    <col min="5642" max="5643" width="3" style="254" customWidth="1"/>
    <col min="5644" max="5646" width="2.875" style="254" customWidth="1"/>
    <col min="5647" max="5647" width="3" style="254" customWidth="1"/>
    <col min="5648" max="5648" width="2.875" style="254" customWidth="1"/>
    <col min="5649" max="5649" width="2.125" style="254" customWidth="1"/>
    <col min="5650" max="5651" width="2.75" style="254" customWidth="1"/>
    <col min="5652" max="5653" width="2.125" style="254" customWidth="1"/>
    <col min="5654" max="5691" width="2.875" style="254" customWidth="1"/>
    <col min="5692" max="5888" width="9" style="254" customWidth="1"/>
    <col min="5889" max="5890" width="1.75" style="254" customWidth="1"/>
    <col min="5891" max="5891" width="2.875" style="254" customWidth="1"/>
    <col min="5892" max="5892" width="3" style="254" customWidth="1"/>
    <col min="5893" max="5894" width="3.625" style="254" customWidth="1"/>
    <col min="5895" max="5895" width="3.25" style="254" customWidth="1"/>
    <col min="5896" max="5896" width="1.375" style="254" customWidth="1"/>
    <col min="5897" max="5897" width="2.125" style="254" customWidth="1"/>
    <col min="5898" max="5899" width="3" style="254" customWidth="1"/>
    <col min="5900" max="5902" width="2.875" style="254" customWidth="1"/>
    <col min="5903" max="5903" width="3" style="254" customWidth="1"/>
    <col min="5904" max="5904" width="2.875" style="254" customWidth="1"/>
    <col min="5905" max="5905" width="2.125" style="254" customWidth="1"/>
    <col min="5906" max="5907" width="2.75" style="254" customWidth="1"/>
    <col min="5908" max="5909" width="2.125" style="254" customWidth="1"/>
    <col min="5910" max="5947" width="2.875" style="254" customWidth="1"/>
    <col min="5948" max="6144" width="9" style="254" customWidth="1"/>
    <col min="6145" max="6146" width="1.75" style="254" customWidth="1"/>
    <col min="6147" max="6147" width="2.875" style="254" customWidth="1"/>
    <col min="6148" max="6148" width="3" style="254" customWidth="1"/>
    <col min="6149" max="6150" width="3.625" style="254" customWidth="1"/>
    <col min="6151" max="6151" width="3.25" style="254" customWidth="1"/>
    <col min="6152" max="6152" width="1.375" style="254" customWidth="1"/>
    <col min="6153" max="6153" width="2.125" style="254" customWidth="1"/>
    <col min="6154" max="6155" width="3" style="254" customWidth="1"/>
    <col min="6156" max="6158" width="2.875" style="254" customWidth="1"/>
    <col min="6159" max="6159" width="3" style="254" customWidth="1"/>
    <col min="6160" max="6160" width="2.875" style="254" customWidth="1"/>
    <col min="6161" max="6161" width="2.125" style="254" customWidth="1"/>
    <col min="6162" max="6163" width="2.75" style="254" customWidth="1"/>
    <col min="6164" max="6165" width="2.125" style="254" customWidth="1"/>
    <col min="6166" max="6203" width="2.875" style="254" customWidth="1"/>
    <col min="6204" max="6400" width="9" style="254" customWidth="1"/>
    <col min="6401" max="6402" width="1.75" style="254" customWidth="1"/>
    <col min="6403" max="6403" width="2.875" style="254" customWidth="1"/>
    <col min="6404" max="6404" width="3" style="254" customWidth="1"/>
    <col min="6405" max="6406" width="3.625" style="254" customWidth="1"/>
    <col min="6407" max="6407" width="3.25" style="254" customWidth="1"/>
    <col min="6408" max="6408" width="1.375" style="254" customWidth="1"/>
    <col min="6409" max="6409" width="2.125" style="254" customWidth="1"/>
    <col min="6410" max="6411" width="3" style="254" customWidth="1"/>
    <col min="6412" max="6414" width="2.875" style="254" customWidth="1"/>
    <col min="6415" max="6415" width="3" style="254" customWidth="1"/>
    <col min="6416" max="6416" width="2.875" style="254" customWidth="1"/>
    <col min="6417" max="6417" width="2.125" style="254" customWidth="1"/>
    <col min="6418" max="6419" width="2.75" style="254" customWidth="1"/>
    <col min="6420" max="6421" width="2.125" style="254" customWidth="1"/>
    <col min="6422" max="6459" width="2.875" style="254" customWidth="1"/>
    <col min="6460" max="6656" width="9" style="254" customWidth="1"/>
    <col min="6657" max="6658" width="1.75" style="254" customWidth="1"/>
    <col min="6659" max="6659" width="2.875" style="254" customWidth="1"/>
    <col min="6660" max="6660" width="3" style="254" customWidth="1"/>
    <col min="6661" max="6662" width="3.625" style="254" customWidth="1"/>
    <col min="6663" max="6663" width="3.25" style="254" customWidth="1"/>
    <col min="6664" max="6664" width="1.375" style="254" customWidth="1"/>
    <col min="6665" max="6665" width="2.125" style="254" customWidth="1"/>
    <col min="6666" max="6667" width="3" style="254" customWidth="1"/>
    <col min="6668" max="6670" width="2.875" style="254" customWidth="1"/>
    <col min="6671" max="6671" width="3" style="254" customWidth="1"/>
    <col min="6672" max="6672" width="2.875" style="254" customWidth="1"/>
    <col min="6673" max="6673" width="2.125" style="254" customWidth="1"/>
    <col min="6674" max="6675" width="2.75" style="254" customWidth="1"/>
    <col min="6676" max="6677" width="2.125" style="254" customWidth="1"/>
    <col min="6678" max="6715" width="2.875" style="254" customWidth="1"/>
    <col min="6716" max="6912" width="9" style="254" customWidth="1"/>
    <col min="6913" max="6914" width="1.75" style="254" customWidth="1"/>
    <col min="6915" max="6915" width="2.875" style="254" customWidth="1"/>
    <col min="6916" max="6916" width="3" style="254" customWidth="1"/>
    <col min="6917" max="6918" width="3.625" style="254" customWidth="1"/>
    <col min="6919" max="6919" width="3.25" style="254" customWidth="1"/>
    <col min="6920" max="6920" width="1.375" style="254" customWidth="1"/>
    <col min="6921" max="6921" width="2.125" style="254" customWidth="1"/>
    <col min="6922" max="6923" width="3" style="254" customWidth="1"/>
    <col min="6924" max="6926" width="2.875" style="254" customWidth="1"/>
    <col min="6927" max="6927" width="3" style="254" customWidth="1"/>
    <col min="6928" max="6928" width="2.875" style="254" customWidth="1"/>
    <col min="6929" max="6929" width="2.125" style="254" customWidth="1"/>
    <col min="6930" max="6931" width="2.75" style="254" customWidth="1"/>
    <col min="6932" max="6933" width="2.125" style="254" customWidth="1"/>
    <col min="6934" max="6971" width="2.875" style="254" customWidth="1"/>
    <col min="6972" max="7168" width="9" style="254" customWidth="1"/>
    <col min="7169" max="7170" width="1.75" style="254" customWidth="1"/>
    <col min="7171" max="7171" width="2.875" style="254" customWidth="1"/>
    <col min="7172" max="7172" width="3" style="254" customWidth="1"/>
    <col min="7173" max="7174" width="3.625" style="254" customWidth="1"/>
    <col min="7175" max="7175" width="3.25" style="254" customWidth="1"/>
    <col min="7176" max="7176" width="1.375" style="254" customWidth="1"/>
    <col min="7177" max="7177" width="2.125" style="254" customWidth="1"/>
    <col min="7178" max="7179" width="3" style="254" customWidth="1"/>
    <col min="7180" max="7182" width="2.875" style="254" customWidth="1"/>
    <col min="7183" max="7183" width="3" style="254" customWidth="1"/>
    <col min="7184" max="7184" width="2.875" style="254" customWidth="1"/>
    <col min="7185" max="7185" width="2.125" style="254" customWidth="1"/>
    <col min="7186" max="7187" width="2.75" style="254" customWidth="1"/>
    <col min="7188" max="7189" width="2.125" style="254" customWidth="1"/>
    <col min="7190" max="7227" width="2.875" style="254" customWidth="1"/>
    <col min="7228" max="7424" width="9" style="254" customWidth="1"/>
    <col min="7425" max="7426" width="1.75" style="254" customWidth="1"/>
    <col min="7427" max="7427" width="2.875" style="254" customWidth="1"/>
    <col min="7428" max="7428" width="3" style="254" customWidth="1"/>
    <col min="7429" max="7430" width="3.625" style="254" customWidth="1"/>
    <col min="7431" max="7431" width="3.25" style="254" customWidth="1"/>
    <col min="7432" max="7432" width="1.375" style="254" customWidth="1"/>
    <col min="7433" max="7433" width="2.125" style="254" customWidth="1"/>
    <col min="7434" max="7435" width="3" style="254" customWidth="1"/>
    <col min="7436" max="7438" width="2.875" style="254" customWidth="1"/>
    <col min="7439" max="7439" width="3" style="254" customWidth="1"/>
    <col min="7440" max="7440" width="2.875" style="254" customWidth="1"/>
    <col min="7441" max="7441" width="2.125" style="254" customWidth="1"/>
    <col min="7442" max="7443" width="2.75" style="254" customWidth="1"/>
    <col min="7444" max="7445" width="2.125" style="254" customWidth="1"/>
    <col min="7446" max="7483" width="2.875" style="254" customWidth="1"/>
    <col min="7484" max="7680" width="9" style="254" customWidth="1"/>
    <col min="7681" max="7682" width="1.75" style="254" customWidth="1"/>
    <col min="7683" max="7683" width="2.875" style="254" customWidth="1"/>
    <col min="7684" max="7684" width="3" style="254" customWidth="1"/>
    <col min="7685" max="7686" width="3.625" style="254" customWidth="1"/>
    <col min="7687" max="7687" width="3.25" style="254" customWidth="1"/>
    <col min="7688" max="7688" width="1.375" style="254" customWidth="1"/>
    <col min="7689" max="7689" width="2.125" style="254" customWidth="1"/>
    <col min="7690" max="7691" width="3" style="254" customWidth="1"/>
    <col min="7692" max="7694" width="2.875" style="254" customWidth="1"/>
    <col min="7695" max="7695" width="3" style="254" customWidth="1"/>
    <col min="7696" max="7696" width="2.875" style="254" customWidth="1"/>
    <col min="7697" max="7697" width="2.125" style="254" customWidth="1"/>
    <col min="7698" max="7699" width="2.75" style="254" customWidth="1"/>
    <col min="7700" max="7701" width="2.125" style="254" customWidth="1"/>
    <col min="7702" max="7739" width="2.875" style="254" customWidth="1"/>
    <col min="7740" max="7936" width="9" style="254" customWidth="1"/>
    <col min="7937" max="7938" width="1.75" style="254" customWidth="1"/>
    <col min="7939" max="7939" width="2.875" style="254" customWidth="1"/>
    <col min="7940" max="7940" width="3" style="254" customWidth="1"/>
    <col min="7941" max="7942" width="3.625" style="254" customWidth="1"/>
    <col min="7943" max="7943" width="3.25" style="254" customWidth="1"/>
    <col min="7944" max="7944" width="1.375" style="254" customWidth="1"/>
    <col min="7945" max="7945" width="2.125" style="254" customWidth="1"/>
    <col min="7946" max="7947" width="3" style="254" customWidth="1"/>
    <col min="7948" max="7950" width="2.875" style="254" customWidth="1"/>
    <col min="7951" max="7951" width="3" style="254" customWidth="1"/>
    <col min="7952" max="7952" width="2.875" style="254" customWidth="1"/>
    <col min="7953" max="7953" width="2.125" style="254" customWidth="1"/>
    <col min="7954" max="7955" width="2.75" style="254" customWidth="1"/>
    <col min="7956" max="7957" width="2.125" style="254" customWidth="1"/>
    <col min="7958" max="7995" width="2.875" style="254" customWidth="1"/>
    <col min="7996" max="8192" width="9" style="254" customWidth="1"/>
    <col min="8193" max="8194" width="1.75" style="254" customWidth="1"/>
    <col min="8195" max="8195" width="2.875" style="254" customWidth="1"/>
    <col min="8196" max="8196" width="3" style="254" customWidth="1"/>
    <col min="8197" max="8198" width="3.625" style="254" customWidth="1"/>
    <col min="8199" max="8199" width="3.25" style="254" customWidth="1"/>
    <col min="8200" max="8200" width="1.375" style="254" customWidth="1"/>
    <col min="8201" max="8201" width="2.125" style="254" customWidth="1"/>
    <col min="8202" max="8203" width="3" style="254" customWidth="1"/>
    <col min="8204" max="8206" width="2.875" style="254" customWidth="1"/>
    <col min="8207" max="8207" width="3" style="254" customWidth="1"/>
    <col min="8208" max="8208" width="2.875" style="254" customWidth="1"/>
    <col min="8209" max="8209" width="2.125" style="254" customWidth="1"/>
    <col min="8210" max="8211" width="2.75" style="254" customWidth="1"/>
    <col min="8212" max="8213" width="2.125" style="254" customWidth="1"/>
    <col min="8214" max="8251" width="2.875" style="254" customWidth="1"/>
    <col min="8252" max="8448" width="9" style="254" customWidth="1"/>
    <col min="8449" max="8450" width="1.75" style="254" customWidth="1"/>
    <col min="8451" max="8451" width="2.875" style="254" customWidth="1"/>
    <col min="8452" max="8452" width="3" style="254" customWidth="1"/>
    <col min="8453" max="8454" width="3.625" style="254" customWidth="1"/>
    <col min="8455" max="8455" width="3.25" style="254" customWidth="1"/>
    <col min="8456" max="8456" width="1.375" style="254" customWidth="1"/>
    <col min="8457" max="8457" width="2.125" style="254" customWidth="1"/>
    <col min="8458" max="8459" width="3" style="254" customWidth="1"/>
    <col min="8460" max="8462" width="2.875" style="254" customWidth="1"/>
    <col min="8463" max="8463" width="3" style="254" customWidth="1"/>
    <col min="8464" max="8464" width="2.875" style="254" customWidth="1"/>
    <col min="8465" max="8465" width="2.125" style="254" customWidth="1"/>
    <col min="8466" max="8467" width="2.75" style="254" customWidth="1"/>
    <col min="8468" max="8469" width="2.125" style="254" customWidth="1"/>
    <col min="8470" max="8507" width="2.875" style="254" customWidth="1"/>
    <col min="8508" max="8704" width="9" style="254" customWidth="1"/>
    <col min="8705" max="8706" width="1.75" style="254" customWidth="1"/>
    <col min="8707" max="8707" width="2.875" style="254" customWidth="1"/>
    <col min="8708" max="8708" width="3" style="254" customWidth="1"/>
    <col min="8709" max="8710" width="3.625" style="254" customWidth="1"/>
    <col min="8711" max="8711" width="3.25" style="254" customWidth="1"/>
    <col min="8712" max="8712" width="1.375" style="254" customWidth="1"/>
    <col min="8713" max="8713" width="2.125" style="254" customWidth="1"/>
    <col min="8714" max="8715" width="3" style="254" customWidth="1"/>
    <col min="8716" max="8718" width="2.875" style="254" customWidth="1"/>
    <col min="8719" max="8719" width="3" style="254" customWidth="1"/>
    <col min="8720" max="8720" width="2.875" style="254" customWidth="1"/>
    <col min="8721" max="8721" width="2.125" style="254" customWidth="1"/>
    <col min="8722" max="8723" width="2.75" style="254" customWidth="1"/>
    <col min="8724" max="8725" width="2.125" style="254" customWidth="1"/>
    <col min="8726" max="8763" width="2.875" style="254" customWidth="1"/>
    <col min="8764" max="8960" width="9" style="254" customWidth="1"/>
    <col min="8961" max="8962" width="1.75" style="254" customWidth="1"/>
    <col min="8963" max="8963" width="2.875" style="254" customWidth="1"/>
    <col min="8964" max="8964" width="3" style="254" customWidth="1"/>
    <col min="8965" max="8966" width="3.625" style="254" customWidth="1"/>
    <col min="8967" max="8967" width="3.25" style="254" customWidth="1"/>
    <col min="8968" max="8968" width="1.375" style="254" customWidth="1"/>
    <col min="8969" max="8969" width="2.125" style="254" customWidth="1"/>
    <col min="8970" max="8971" width="3" style="254" customWidth="1"/>
    <col min="8972" max="8974" width="2.875" style="254" customWidth="1"/>
    <col min="8975" max="8975" width="3" style="254" customWidth="1"/>
    <col min="8976" max="8976" width="2.875" style="254" customWidth="1"/>
    <col min="8977" max="8977" width="2.125" style="254" customWidth="1"/>
    <col min="8978" max="8979" width="2.75" style="254" customWidth="1"/>
    <col min="8980" max="8981" width="2.125" style="254" customWidth="1"/>
    <col min="8982" max="9019" width="2.875" style="254" customWidth="1"/>
    <col min="9020" max="9216" width="9" style="254" customWidth="1"/>
    <col min="9217" max="9218" width="1.75" style="254" customWidth="1"/>
    <col min="9219" max="9219" width="2.875" style="254" customWidth="1"/>
    <col min="9220" max="9220" width="3" style="254" customWidth="1"/>
    <col min="9221" max="9222" width="3.625" style="254" customWidth="1"/>
    <col min="9223" max="9223" width="3.25" style="254" customWidth="1"/>
    <col min="9224" max="9224" width="1.375" style="254" customWidth="1"/>
    <col min="9225" max="9225" width="2.125" style="254" customWidth="1"/>
    <col min="9226" max="9227" width="3" style="254" customWidth="1"/>
    <col min="9228" max="9230" width="2.875" style="254" customWidth="1"/>
    <col min="9231" max="9231" width="3" style="254" customWidth="1"/>
    <col min="9232" max="9232" width="2.875" style="254" customWidth="1"/>
    <col min="9233" max="9233" width="2.125" style="254" customWidth="1"/>
    <col min="9234" max="9235" width="2.75" style="254" customWidth="1"/>
    <col min="9236" max="9237" width="2.125" style="254" customWidth="1"/>
    <col min="9238" max="9275" width="2.875" style="254" customWidth="1"/>
    <col min="9276" max="9472" width="9" style="254" customWidth="1"/>
    <col min="9473" max="9474" width="1.75" style="254" customWidth="1"/>
    <col min="9475" max="9475" width="2.875" style="254" customWidth="1"/>
    <col min="9476" max="9476" width="3" style="254" customWidth="1"/>
    <col min="9477" max="9478" width="3.625" style="254" customWidth="1"/>
    <col min="9479" max="9479" width="3.25" style="254" customWidth="1"/>
    <col min="9480" max="9480" width="1.375" style="254" customWidth="1"/>
    <col min="9481" max="9481" width="2.125" style="254" customWidth="1"/>
    <col min="9482" max="9483" width="3" style="254" customWidth="1"/>
    <col min="9484" max="9486" width="2.875" style="254" customWidth="1"/>
    <col min="9487" max="9487" width="3" style="254" customWidth="1"/>
    <col min="9488" max="9488" width="2.875" style="254" customWidth="1"/>
    <col min="9489" max="9489" width="2.125" style="254" customWidth="1"/>
    <col min="9490" max="9491" width="2.75" style="254" customWidth="1"/>
    <col min="9492" max="9493" width="2.125" style="254" customWidth="1"/>
    <col min="9494" max="9531" width="2.875" style="254" customWidth="1"/>
    <col min="9532" max="9728" width="9" style="254" customWidth="1"/>
    <col min="9729" max="9730" width="1.75" style="254" customWidth="1"/>
    <col min="9731" max="9731" width="2.875" style="254" customWidth="1"/>
    <col min="9732" max="9732" width="3" style="254" customWidth="1"/>
    <col min="9733" max="9734" width="3.625" style="254" customWidth="1"/>
    <col min="9735" max="9735" width="3.25" style="254" customWidth="1"/>
    <col min="9736" max="9736" width="1.375" style="254" customWidth="1"/>
    <col min="9737" max="9737" width="2.125" style="254" customWidth="1"/>
    <col min="9738" max="9739" width="3" style="254" customWidth="1"/>
    <col min="9740" max="9742" width="2.875" style="254" customWidth="1"/>
    <col min="9743" max="9743" width="3" style="254" customWidth="1"/>
    <col min="9744" max="9744" width="2.875" style="254" customWidth="1"/>
    <col min="9745" max="9745" width="2.125" style="254" customWidth="1"/>
    <col min="9746" max="9747" width="2.75" style="254" customWidth="1"/>
    <col min="9748" max="9749" width="2.125" style="254" customWidth="1"/>
    <col min="9750" max="9787" width="2.875" style="254" customWidth="1"/>
    <col min="9788" max="9984" width="9" style="254" customWidth="1"/>
    <col min="9985" max="9986" width="1.75" style="254" customWidth="1"/>
    <col min="9987" max="9987" width="2.875" style="254" customWidth="1"/>
    <col min="9988" max="9988" width="3" style="254" customWidth="1"/>
    <col min="9989" max="9990" width="3.625" style="254" customWidth="1"/>
    <col min="9991" max="9991" width="3.25" style="254" customWidth="1"/>
    <col min="9992" max="9992" width="1.375" style="254" customWidth="1"/>
    <col min="9993" max="9993" width="2.125" style="254" customWidth="1"/>
    <col min="9994" max="9995" width="3" style="254" customWidth="1"/>
    <col min="9996" max="9998" width="2.875" style="254" customWidth="1"/>
    <col min="9999" max="9999" width="3" style="254" customWidth="1"/>
    <col min="10000" max="10000" width="2.875" style="254" customWidth="1"/>
    <col min="10001" max="10001" width="2.125" style="254" customWidth="1"/>
    <col min="10002" max="10003" width="2.75" style="254" customWidth="1"/>
    <col min="10004" max="10005" width="2.125" style="254" customWidth="1"/>
    <col min="10006" max="10043" width="2.875" style="254" customWidth="1"/>
    <col min="10044" max="10240" width="9" style="254" customWidth="1"/>
    <col min="10241" max="10242" width="1.75" style="254" customWidth="1"/>
    <col min="10243" max="10243" width="2.875" style="254" customWidth="1"/>
    <col min="10244" max="10244" width="3" style="254" customWidth="1"/>
    <col min="10245" max="10246" width="3.625" style="254" customWidth="1"/>
    <col min="10247" max="10247" width="3.25" style="254" customWidth="1"/>
    <col min="10248" max="10248" width="1.375" style="254" customWidth="1"/>
    <col min="10249" max="10249" width="2.125" style="254" customWidth="1"/>
    <col min="10250" max="10251" width="3" style="254" customWidth="1"/>
    <col min="10252" max="10254" width="2.875" style="254" customWidth="1"/>
    <col min="10255" max="10255" width="3" style="254" customWidth="1"/>
    <col min="10256" max="10256" width="2.875" style="254" customWidth="1"/>
    <col min="10257" max="10257" width="2.125" style="254" customWidth="1"/>
    <col min="10258" max="10259" width="2.75" style="254" customWidth="1"/>
    <col min="10260" max="10261" width="2.125" style="254" customWidth="1"/>
    <col min="10262" max="10299" width="2.875" style="254" customWidth="1"/>
    <col min="10300" max="10496" width="9" style="254" customWidth="1"/>
    <col min="10497" max="10498" width="1.75" style="254" customWidth="1"/>
    <col min="10499" max="10499" width="2.875" style="254" customWidth="1"/>
    <col min="10500" max="10500" width="3" style="254" customWidth="1"/>
    <col min="10501" max="10502" width="3.625" style="254" customWidth="1"/>
    <col min="10503" max="10503" width="3.25" style="254" customWidth="1"/>
    <col min="10504" max="10504" width="1.375" style="254" customWidth="1"/>
    <col min="10505" max="10505" width="2.125" style="254" customWidth="1"/>
    <col min="10506" max="10507" width="3" style="254" customWidth="1"/>
    <col min="10508" max="10510" width="2.875" style="254" customWidth="1"/>
    <col min="10511" max="10511" width="3" style="254" customWidth="1"/>
    <col min="10512" max="10512" width="2.875" style="254" customWidth="1"/>
    <col min="10513" max="10513" width="2.125" style="254" customWidth="1"/>
    <col min="10514" max="10515" width="2.75" style="254" customWidth="1"/>
    <col min="10516" max="10517" width="2.125" style="254" customWidth="1"/>
    <col min="10518" max="10555" width="2.875" style="254" customWidth="1"/>
    <col min="10556" max="10752" width="9" style="254" customWidth="1"/>
    <col min="10753" max="10754" width="1.75" style="254" customWidth="1"/>
    <col min="10755" max="10755" width="2.875" style="254" customWidth="1"/>
    <col min="10756" max="10756" width="3" style="254" customWidth="1"/>
    <col min="10757" max="10758" width="3.625" style="254" customWidth="1"/>
    <col min="10759" max="10759" width="3.25" style="254" customWidth="1"/>
    <col min="10760" max="10760" width="1.375" style="254" customWidth="1"/>
    <col min="10761" max="10761" width="2.125" style="254" customWidth="1"/>
    <col min="10762" max="10763" width="3" style="254" customWidth="1"/>
    <col min="10764" max="10766" width="2.875" style="254" customWidth="1"/>
    <col min="10767" max="10767" width="3" style="254" customWidth="1"/>
    <col min="10768" max="10768" width="2.875" style="254" customWidth="1"/>
    <col min="10769" max="10769" width="2.125" style="254" customWidth="1"/>
    <col min="10770" max="10771" width="2.75" style="254" customWidth="1"/>
    <col min="10772" max="10773" width="2.125" style="254" customWidth="1"/>
    <col min="10774" max="10811" width="2.875" style="254" customWidth="1"/>
    <col min="10812" max="11008" width="9" style="254" customWidth="1"/>
    <col min="11009" max="11010" width="1.75" style="254" customWidth="1"/>
    <col min="11011" max="11011" width="2.875" style="254" customWidth="1"/>
    <col min="11012" max="11012" width="3" style="254" customWidth="1"/>
    <col min="11013" max="11014" width="3.625" style="254" customWidth="1"/>
    <col min="11015" max="11015" width="3.25" style="254" customWidth="1"/>
    <col min="11016" max="11016" width="1.375" style="254" customWidth="1"/>
    <col min="11017" max="11017" width="2.125" style="254" customWidth="1"/>
    <col min="11018" max="11019" width="3" style="254" customWidth="1"/>
    <col min="11020" max="11022" width="2.875" style="254" customWidth="1"/>
    <col min="11023" max="11023" width="3" style="254" customWidth="1"/>
    <col min="11024" max="11024" width="2.875" style="254" customWidth="1"/>
    <col min="11025" max="11025" width="2.125" style="254" customWidth="1"/>
    <col min="11026" max="11027" width="2.75" style="254" customWidth="1"/>
    <col min="11028" max="11029" width="2.125" style="254" customWidth="1"/>
    <col min="11030" max="11067" width="2.875" style="254" customWidth="1"/>
    <col min="11068" max="11264" width="9" style="254" customWidth="1"/>
    <col min="11265" max="11266" width="1.75" style="254" customWidth="1"/>
    <col min="11267" max="11267" width="2.875" style="254" customWidth="1"/>
    <col min="11268" max="11268" width="3" style="254" customWidth="1"/>
    <col min="11269" max="11270" width="3.625" style="254" customWidth="1"/>
    <col min="11271" max="11271" width="3.25" style="254" customWidth="1"/>
    <col min="11272" max="11272" width="1.375" style="254" customWidth="1"/>
    <col min="11273" max="11273" width="2.125" style="254" customWidth="1"/>
    <col min="11274" max="11275" width="3" style="254" customWidth="1"/>
    <col min="11276" max="11278" width="2.875" style="254" customWidth="1"/>
    <col min="11279" max="11279" width="3" style="254" customWidth="1"/>
    <col min="11280" max="11280" width="2.875" style="254" customWidth="1"/>
    <col min="11281" max="11281" width="2.125" style="254" customWidth="1"/>
    <col min="11282" max="11283" width="2.75" style="254" customWidth="1"/>
    <col min="11284" max="11285" width="2.125" style="254" customWidth="1"/>
    <col min="11286" max="11323" width="2.875" style="254" customWidth="1"/>
    <col min="11324" max="11520" width="9" style="254" customWidth="1"/>
    <col min="11521" max="11522" width="1.75" style="254" customWidth="1"/>
    <col min="11523" max="11523" width="2.875" style="254" customWidth="1"/>
    <col min="11524" max="11524" width="3" style="254" customWidth="1"/>
    <col min="11525" max="11526" width="3.625" style="254" customWidth="1"/>
    <col min="11527" max="11527" width="3.25" style="254" customWidth="1"/>
    <col min="11528" max="11528" width="1.375" style="254" customWidth="1"/>
    <col min="11529" max="11529" width="2.125" style="254" customWidth="1"/>
    <col min="11530" max="11531" width="3" style="254" customWidth="1"/>
    <col min="11532" max="11534" width="2.875" style="254" customWidth="1"/>
    <col min="11535" max="11535" width="3" style="254" customWidth="1"/>
    <col min="11536" max="11536" width="2.875" style="254" customWidth="1"/>
    <col min="11537" max="11537" width="2.125" style="254" customWidth="1"/>
    <col min="11538" max="11539" width="2.75" style="254" customWidth="1"/>
    <col min="11540" max="11541" width="2.125" style="254" customWidth="1"/>
    <col min="11542" max="11579" width="2.875" style="254" customWidth="1"/>
    <col min="11580" max="11776" width="9" style="254" customWidth="1"/>
    <col min="11777" max="11778" width="1.75" style="254" customWidth="1"/>
    <col min="11779" max="11779" width="2.875" style="254" customWidth="1"/>
    <col min="11780" max="11780" width="3" style="254" customWidth="1"/>
    <col min="11781" max="11782" width="3.625" style="254" customWidth="1"/>
    <col min="11783" max="11783" width="3.25" style="254" customWidth="1"/>
    <col min="11784" max="11784" width="1.375" style="254" customWidth="1"/>
    <col min="11785" max="11785" width="2.125" style="254" customWidth="1"/>
    <col min="11786" max="11787" width="3" style="254" customWidth="1"/>
    <col min="11788" max="11790" width="2.875" style="254" customWidth="1"/>
    <col min="11791" max="11791" width="3" style="254" customWidth="1"/>
    <col min="11792" max="11792" width="2.875" style="254" customWidth="1"/>
    <col min="11793" max="11793" width="2.125" style="254" customWidth="1"/>
    <col min="11794" max="11795" width="2.75" style="254" customWidth="1"/>
    <col min="11796" max="11797" width="2.125" style="254" customWidth="1"/>
    <col min="11798" max="11835" width="2.875" style="254" customWidth="1"/>
    <col min="11836" max="12032" width="9" style="254" customWidth="1"/>
    <col min="12033" max="12034" width="1.75" style="254" customWidth="1"/>
    <col min="12035" max="12035" width="2.875" style="254" customWidth="1"/>
    <col min="12036" max="12036" width="3" style="254" customWidth="1"/>
    <col min="12037" max="12038" width="3.625" style="254" customWidth="1"/>
    <col min="12039" max="12039" width="3.25" style="254" customWidth="1"/>
    <col min="12040" max="12040" width="1.375" style="254" customWidth="1"/>
    <col min="12041" max="12041" width="2.125" style="254" customWidth="1"/>
    <col min="12042" max="12043" width="3" style="254" customWidth="1"/>
    <col min="12044" max="12046" width="2.875" style="254" customWidth="1"/>
    <col min="12047" max="12047" width="3" style="254" customWidth="1"/>
    <col min="12048" max="12048" width="2.875" style="254" customWidth="1"/>
    <col min="12049" max="12049" width="2.125" style="254" customWidth="1"/>
    <col min="12050" max="12051" width="2.75" style="254" customWidth="1"/>
    <col min="12052" max="12053" width="2.125" style="254" customWidth="1"/>
    <col min="12054" max="12091" width="2.875" style="254" customWidth="1"/>
    <col min="12092" max="12288" width="9" style="254" customWidth="1"/>
    <col min="12289" max="12290" width="1.75" style="254" customWidth="1"/>
    <col min="12291" max="12291" width="2.875" style="254" customWidth="1"/>
    <col min="12292" max="12292" width="3" style="254" customWidth="1"/>
    <col min="12293" max="12294" width="3.625" style="254" customWidth="1"/>
    <col min="12295" max="12295" width="3.25" style="254" customWidth="1"/>
    <col min="12296" max="12296" width="1.375" style="254" customWidth="1"/>
    <col min="12297" max="12297" width="2.125" style="254" customWidth="1"/>
    <col min="12298" max="12299" width="3" style="254" customWidth="1"/>
    <col min="12300" max="12302" width="2.875" style="254" customWidth="1"/>
    <col min="12303" max="12303" width="3" style="254" customWidth="1"/>
    <col min="12304" max="12304" width="2.875" style="254" customWidth="1"/>
    <col min="12305" max="12305" width="2.125" style="254" customWidth="1"/>
    <col min="12306" max="12307" width="2.75" style="254" customWidth="1"/>
    <col min="12308" max="12309" width="2.125" style="254" customWidth="1"/>
    <col min="12310" max="12347" width="2.875" style="254" customWidth="1"/>
    <col min="12348" max="12544" width="9" style="254" customWidth="1"/>
    <col min="12545" max="12546" width="1.75" style="254" customWidth="1"/>
    <col min="12547" max="12547" width="2.875" style="254" customWidth="1"/>
    <col min="12548" max="12548" width="3" style="254" customWidth="1"/>
    <col min="12549" max="12550" width="3.625" style="254" customWidth="1"/>
    <col min="12551" max="12551" width="3.25" style="254" customWidth="1"/>
    <col min="12552" max="12552" width="1.375" style="254" customWidth="1"/>
    <col min="12553" max="12553" width="2.125" style="254" customWidth="1"/>
    <col min="12554" max="12555" width="3" style="254" customWidth="1"/>
    <col min="12556" max="12558" width="2.875" style="254" customWidth="1"/>
    <col min="12559" max="12559" width="3" style="254" customWidth="1"/>
    <col min="12560" max="12560" width="2.875" style="254" customWidth="1"/>
    <col min="12561" max="12561" width="2.125" style="254" customWidth="1"/>
    <col min="12562" max="12563" width="2.75" style="254" customWidth="1"/>
    <col min="12564" max="12565" width="2.125" style="254" customWidth="1"/>
    <col min="12566" max="12603" width="2.875" style="254" customWidth="1"/>
    <col min="12604" max="12800" width="9" style="254" customWidth="1"/>
    <col min="12801" max="12802" width="1.75" style="254" customWidth="1"/>
    <col min="12803" max="12803" width="2.875" style="254" customWidth="1"/>
    <col min="12804" max="12804" width="3" style="254" customWidth="1"/>
    <col min="12805" max="12806" width="3.625" style="254" customWidth="1"/>
    <col min="12807" max="12807" width="3.25" style="254" customWidth="1"/>
    <col min="12808" max="12808" width="1.375" style="254" customWidth="1"/>
    <col min="12809" max="12809" width="2.125" style="254" customWidth="1"/>
    <col min="12810" max="12811" width="3" style="254" customWidth="1"/>
    <col min="12812" max="12814" width="2.875" style="254" customWidth="1"/>
    <col min="12815" max="12815" width="3" style="254" customWidth="1"/>
    <col min="12816" max="12816" width="2.875" style="254" customWidth="1"/>
    <col min="12817" max="12817" width="2.125" style="254" customWidth="1"/>
    <col min="12818" max="12819" width="2.75" style="254" customWidth="1"/>
    <col min="12820" max="12821" width="2.125" style="254" customWidth="1"/>
    <col min="12822" max="12859" width="2.875" style="254" customWidth="1"/>
    <col min="12860" max="13056" width="9" style="254" customWidth="1"/>
    <col min="13057" max="13058" width="1.75" style="254" customWidth="1"/>
    <col min="13059" max="13059" width="2.875" style="254" customWidth="1"/>
    <col min="13060" max="13060" width="3" style="254" customWidth="1"/>
    <col min="13061" max="13062" width="3.625" style="254" customWidth="1"/>
    <col min="13063" max="13063" width="3.25" style="254" customWidth="1"/>
    <col min="13064" max="13064" width="1.375" style="254" customWidth="1"/>
    <col min="13065" max="13065" width="2.125" style="254" customWidth="1"/>
    <col min="13066" max="13067" width="3" style="254" customWidth="1"/>
    <col min="13068" max="13070" width="2.875" style="254" customWidth="1"/>
    <col min="13071" max="13071" width="3" style="254" customWidth="1"/>
    <col min="13072" max="13072" width="2.875" style="254" customWidth="1"/>
    <col min="13073" max="13073" width="2.125" style="254" customWidth="1"/>
    <col min="13074" max="13075" width="2.75" style="254" customWidth="1"/>
    <col min="13076" max="13077" width="2.125" style="254" customWidth="1"/>
    <col min="13078" max="13115" width="2.875" style="254" customWidth="1"/>
    <col min="13116" max="13312" width="9" style="254" customWidth="1"/>
    <col min="13313" max="13314" width="1.75" style="254" customWidth="1"/>
    <col min="13315" max="13315" width="2.875" style="254" customWidth="1"/>
    <col min="13316" max="13316" width="3" style="254" customWidth="1"/>
    <col min="13317" max="13318" width="3.625" style="254" customWidth="1"/>
    <col min="13319" max="13319" width="3.25" style="254" customWidth="1"/>
    <col min="13320" max="13320" width="1.375" style="254" customWidth="1"/>
    <col min="13321" max="13321" width="2.125" style="254" customWidth="1"/>
    <col min="13322" max="13323" width="3" style="254" customWidth="1"/>
    <col min="13324" max="13326" width="2.875" style="254" customWidth="1"/>
    <col min="13327" max="13327" width="3" style="254" customWidth="1"/>
    <col min="13328" max="13328" width="2.875" style="254" customWidth="1"/>
    <col min="13329" max="13329" width="2.125" style="254" customWidth="1"/>
    <col min="13330" max="13331" width="2.75" style="254" customWidth="1"/>
    <col min="13332" max="13333" width="2.125" style="254" customWidth="1"/>
    <col min="13334" max="13371" width="2.875" style="254" customWidth="1"/>
    <col min="13372" max="13568" width="9" style="254" customWidth="1"/>
    <col min="13569" max="13570" width="1.75" style="254" customWidth="1"/>
    <col min="13571" max="13571" width="2.875" style="254" customWidth="1"/>
    <col min="13572" max="13572" width="3" style="254" customWidth="1"/>
    <col min="13573" max="13574" width="3.625" style="254" customWidth="1"/>
    <col min="13575" max="13575" width="3.25" style="254" customWidth="1"/>
    <col min="13576" max="13576" width="1.375" style="254" customWidth="1"/>
    <col min="13577" max="13577" width="2.125" style="254" customWidth="1"/>
    <col min="13578" max="13579" width="3" style="254" customWidth="1"/>
    <col min="13580" max="13582" width="2.875" style="254" customWidth="1"/>
    <col min="13583" max="13583" width="3" style="254" customWidth="1"/>
    <col min="13584" max="13584" width="2.875" style="254" customWidth="1"/>
    <col min="13585" max="13585" width="2.125" style="254" customWidth="1"/>
    <col min="13586" max="13587" width="2.75" style="254" customWidth="1"/>
    <col min="13588" max="13589" width="2.125" style="254" customWidth="1"/>
    <col min="13590" max="13627" width="2.875" style="254" customWidth="1"/>
    <col min="13628" max="13824" width="9" style="254" customWidth="1"/>
    <col min="13825" max="13826" width="1.75" style="254" customWidth="1"/>
    <col min="13827" max="13827" width="2.875" style="254" customWidth="1"/>
    <col min="13828" max="13828" width="3" style="254" customWidth="1"/>
    <col min="13829" max="13830" width="3.625" style="254" customWidth="1"/>
    <col min="13831" max="13831" width="3.25" style="254" customWidth="1"/>
    <col min="13832" max="13832" width="1.375" style="254" customWidth="1"/>
    <col min="13833" max="13833" width="2.125" style="254" customWidth="1"/>
    <col min="13834" max="13835" width="3" style="254" customWidth="1"/>
    <col min="13836" max="13838" width="2.875" style="254" customWidth="1"/>
    <col min="13839" max="13839" width="3" style="254" customWidth="1"/>
    <col min="13840" max="13840" width="2.875" style="254" customWidth="1"/>
    <col min="13841" max="13841" width="2.125" style="254" customWidth="1"/>
    <col min="13842" max="13843" width="2.75" style="254" customWidth="1"/>
    <col min="13844" max="13845" width="2.125" style="254" customWidth="1"/>
    <col min="13846" max="13883" width="2.875" style="254" customWidth="1"/>
    <col min="13884" max="14080" width="9" style="254" customWidth="1"/>
    <col min="14081" max="14082" width="1.75" style="254" customWidth="1"/>
    <col min="14083" max="14083" width="2.875" style="254" customWidth="1"/>
    <col min="14084" max="14084" width="3" style="254" customWidth="1"/>
    <col min="14085" max="14086" width="3.625" style="254" customWidth="1"/>
    <col min="14087" max="14087" width="3.25" style="254" customWidth="1"/>
    <col min="14088" max="14088" width="1.375" style="254" customWidth="1"/>
    <col min="14089" max="14089" width="2.125" style="254" customWidth="1"/>
    <col min="14090" max="14091" width="3" style="254" customWidth="1"/>
    <col min="14092" max="14094" width="2.875" style="254" customWidth="1"/>
    <col min="14095" max="14095" width="3" style="254" customWidth="1"/>
    <col min="14096" max="14096" width="2.875" style="254" customWidth="1"/>
    <col min="14097" max="14097" width="2.125" style="254" customWidth="1"/>
    <col min="14098" max="14099" width="2.75" style="254" customWidth="1"/>
    <col min="14100" max="14101" width="2.125" style="254" customWidth="1"/>
    <col min="14102" max="14139" width="2.875" style="254" customWidth="1"/>
    <col min="14140" max="14336" width="9" style="254" customWidth="1"/>
    <col min="14337" max="14338" width="1.75" style="254" customWidth="1"/>
    <col min="14339" max="14339" width="2.875" style="254" customWidth="1"/>
    <col min="14340" max="14340" width="3" style="254" customWidth="1"/>
    <col min="14341" max="14342" width="3.625" style="254" customWidth="1"/>
    <col min="14343" max="14343" width="3.25" style="254" customWidth="1"/>
    <col min="14344" max="14344" width="1.375" style="254" customWidth="1"/>
    <col min="14345" max="14345" width="2.125" style="254" customWidth="1"/>
    <col min="14346" max="14347" width="3" style="254" customWidth="1"/>
    <col min="14348" max="14350" width="2.875" style="254" customWidth="1"/>
    <col min="14351" max="14351" width="3" style="254" customWidth="1"/>
    <col min="14352" max="14352" width="2.875" style="254" customWidth="1"/>
    <col min="14353" max="14353" width="2.125" style="254" customWidth="1"/>
    <col min="14354" max="14355" width="2.75" style="254" customWidth="1"/>
    <col min="14356" max="14357" width="2.125" style="254" customWidth="1"/>
    <col min="14358" max="14395" width="2.875" style="254" customWidth="1"/>
    <col min="14396" max="14592" width="9" style="254" customWidth="1"/>
    <col min="14593" max="14594" width="1.75" style="254" customWidth="1"/>
    <col min="14595" max="14595" width="2.875" style="254" customWidth="1"/>
    <col min="14596" max="14596" width="3" style="254" customWidth="1"/>
    <col min="14597" max="14598" width="3.625" style="254" customWidth="1"/>
    <col min="14599" max="14599" width="3.25" style="254" customWidth="1"/>
    <col min="14600" max="14600" width="1.375" style="254" customWidth="1"/>
    <col min="14601" max="14601" width="2.125" style="254" customWidth="1"/>
    <col min="14602" max="14603" width="3" style="254" customWidth="1"/>
    <col min="14604" max="14606" width="2.875" style="254" customWidth="1"/>
    <col min="14607" max="14607" width="3" style="254" customWidth="1"/>
    <col min="14608" max="14608" width="2.875" style="254" customWidth="1"/>
    <col min="14609" max="14609" width="2.125" style="254" customWidth="1"/>
    <col min="14610" max="14611" width="2.75" style="254" customWidth="1"/>
    <col min="14612" max="14613" width="2.125" style="254" customWidth="1"/>
    <col min="14614" max="14651" width="2.875" style="254" customWidth="1"/>
    <col min="14652" max="14848" width="9" style="254" customWidth="1"/>
    <col min="14849" max="14850" width="1.75" style="254" customWidth="1"/>
    <col min="14851" max="14851" width="2.875" style="254" customWidth="1"/>
    <col min="14852" max="14852" width="3" style="254" customWidth="1"/>
    <col min="14853" max="14854" width="3.625" style="254" customWidth="1"/>
    <col min="14855" max="14855" width="3.25" style="254" customWidth="1"/>
    <col min="14856" max="14856" width="1.375" style="254" customWidth="1"/>
    <col min="14857" max="14857" width="2.125" style="254" customWidth="1"/>
    <col min="14858" max="14859" width="3" style="254" customWidth="1"/>
    <col min="14860" max="14862" width="2.875" style="254" customWidth="1"/>
    <col min="14863" max="14863" width="3" style="254" customWidth="1"/>
    <col min="14864" max="14864" width="2.875" style="254" customWidth="1"/>
    <col min="14865" max="14865" width="2.125" style="254" customWidth="1"/>
    <col min="14866" max="14867" width="2.75" style="254" customWidth="1"/>
    <col min="14868" max="14869" width="2.125" style="254" customWidth="1"/>
    <col min="14870" max="14907" width="2.875" style="254" customWidth="1"/>
    <col min="14908" max="15104" width="9" style="254" customWidth="1"/>
    <col min="15105" max="15106" width="1.75" style="254" customWidth="1"/>
    <col min="15107" max="15107" width="2.875" style="254" customWidth="1"/>
    <col min="15108" max="15108" width="3" style="254" customWidth="1"/>
    <col min="15109" max="15110" width="3.625" style="254" customWidth="1"/>
    <col min="15111" max="15111" width="3.25" style="254" customWidth="1"/>
    <col min="15112" max="15112" width="1.375" style="254" customWidth="1"/>
    <col min="15113" max="15113" width="2.125" style="254" customWidth="1"/>
    <col min="15114" max="15115" width="3" style="254" customWidth="1"/>
    <col min="15116" max="15118" width="2.875" style="254" customWidth="1"/>
    <col min="15119" max="15119" width="3" style="254" customWidth="1"/>
    <col min="15120" max="15120" width="2.875" style="254" customWidth="1"/>
    <col min="15121" max="15121" width="2.125" style="254" customWidth="1"/>
    <col min="15122" max="15123" width="2.75" style="254" customWidth="1"/>
    <col min="15124" max="15125" width="2.125" style="254" customWidth="1"/>
    <col min="15126" max="15163" width="2.875" style="254" customWidth="1"/>
    <col min="15164" max="15360" width="9" style="254" customWidth="1"/>
    <col min="15361" max="15362" width="1.75" style="254" customWidth="1"/>
    <col min="15363" max="15363" width="2.875" style="254" customWidth="1"/>
    <col min="15364" max="15364" width="3" style="254" customWidth="1"/>
    <col min="15365" max="15366" width="3.625" style="254" customWidth="1"/>
    <col min="15367" max="15367" width="3.25" style="254" customWidth="1"/>
    <col min="15368" max="15368" width="1.375" style="254" customWidth="1"/>
    <col min="15369" max="15369" width="2.125" style="254" customWidth="1"/>
    <col min="15370" max="15371" width="3" style="254" customWidth="1"/>
    <col min="15372" max="15374" width="2.875" style="254" customWidth="1"/>
    <col min="15375" max="15375" width="3" style="254" customWidth="1"/>
    <col min="15376" max="15376" width="2.875" style="254" customWidth="1"/>
    <col min="15377" max="15377" width="2.125" style="254" customWidth="1"/>
    <col min="15378" max="15379" width="2.75" style="254" customWidth="1"/>
    <col min="15380" max="15381" width="2.125" style="254" customWidth="1"/>
    <col min="15382" max="15419" width="2.875" style="254" customWidth="1"/>
    <col min="15420" max="15616" width="9" style="254" customWidth="1"/>
    <col min="15617" max="15618" width="1.75" style="254" customWidth="1"/>
    <col min="15619" max="15619" width="2.875" style="254" customWidth="1"/>
    <col min="15620" max="15620" width="3" style="254" customWidth="1"/>
    <col min="15621" max="15622" width="3.625" style="254" customWidth="1"/>
    <col min="15623" max="15623" width="3.25" style="254" customWidth="1"/>
    <col min="15624" max="15624" width="1.375" style="254" customWidth="1"/>
    <col min="15625" max="15625" width="2.125" style="254" customWidth="1"/>
    <col min="15626" max="15627" width="3" style="254" customWidth="1"/>
    <col min="15628" max="15630" width="2.875" style="254" customWidth="1"/>
    <col min="15631" max="15631" width="3" style="254" customWidth="1"/>
    <col min="15632" max="15632" width="2.875" style="254" customWidth="1"/>
    <col min="15633" max="15633" width="2.125" style="254" customWidth="1"/>
    <col min="15634" max="15635" width="2.75" style="254" customWidth="1"/>
    <col min="15636" max="15637" width="2.125" style="254" customWidth="1"/>
    <col min="15638" max="15675" width="2.875" style="254" customWidth="1"/>
    <col min="15676" max="15872" width="9" style="254" customWidth="1"/>
    <col min="15873" max="15874" width="1.75" style="254" customWidth="1"/>
    <col min="15875" max="15875" width="2.875" style="254" customWidth="1"/>
    <col min="15876" max="15876" width="3" style="254" customWidth="1"/>
    <col min="15877" max="15878" width="3.625" style="254" customWidth="1"/>
    <col min="15879" max="15879" width="3.25" style="254" customWidth="1"/>
    <col min="15880" max="15880" width="1.375" style="254" customWidth="1"/>
    <col min="15881" max="15881" width="2.125" style="254" customWidth="1"/>
    <col min="15882" max="15883" width="3" style="254" customWidth="1"/>
    <col min="15884" max="15886" width="2.875" style="254" customWidth="1"/>
    <col min="15887" max="15887" width="3" style="254" customWidth="1"/>
    <col min="15888" max="15888" width="2.875" style="254" customWidth="1"/>
    <col min="15889" max="15889" width="2.125" style="254" customWidth="1"/>
    <col min="15890" max="15891" width="2.75" style="254" customWidth="1"/>
    <col min="15892" max="15893" width="2.125" style="254" customWidth="1"/>
    <col min="15894" max="15931" width="2.875" style="254" customWidth="1"/>
    <col min="15932" max="16128" width="9" style="254" customWidth="1"/>
    <col min="16129" max="16130" width="1.75" style="254" customWidth="1"/>
    <col min="16131" max="16131" width="2.875" style="254" customWidth="1"/>
    <col min="16132" max="16132" width="3" style="254" customWidth="1"/>
    <col min="16133" max="16134" width="3.625" style="254" customWidth="1"/>
    <col min="16135" max="16135" width="3.25" style="254" customWidth="1"/>
    <col min="16136" max="16136" width="1.375" style="254" customWidth="1"/>
    <col min="16137" max="16137" width="2.125" style="254" customWidth="1"/>
    <col min="16138" max="16139" width="3" style="254" customWidth="1"/>
    <col min="16140" max="16142" width="2.875" style="254" customWidth="1"/>
    <col min="16143" max="16143" width="3" style="254" customWidth="1"/>
    <col min="16144" max="16144" width="2.875" style="254" customWidth="1"/>
    <col min="16145" max="16145" width="2.125" style="254" customWidth="1"/>
    <col min="16146" max="16147" width="2.75" style="254" customWidth="1"/>
    <col min="16148" max="16149" width="2.125" style="254" customWidth="1"/>
    <col min="16150" max="16187" width="2.875" style="254" customWidth="1"/>
    <col min="16188" max="16384" width="9" style="254" customWidth="1"/>
  </cols>
  <sheetData>
    <row r="1" spans="2:30" ht="15" customHeight="1">
      <c r="C1" s="792" t="s">
        <v>2950</v>
      </c>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row>
    <row r="2" spans="2:30" ht="12" customHeight="1">
      <c r="B2" s="260"/>
      <c r="C2" s="256" t="s">
        <v>2951</v>
      </c>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spans="2:30" ht="12" customHeight="1">
      <c r="B3" s="269"/>
      <c r="C3" s="270" t="s">
        <v>2952</v>
      </c>
      <c r="D3" s="269"/>
      <c r="E3" s="269"/>
      <c r="F3" s="269"/>
      <c r="G3" s="793" t="str">
        <f>cst_wskakunin_BUILD__address</f>
        <v/>
      </c>
      <c r="H3" s="793"/>
      <c r="I3" s="793"/>
      <c r="J3" s="793"/>
      <c r="K3" s="793"/>
      <c r="L3" s="793"/>
      <c r="M3" s="793"/>
      <c r="N3" s="793"/>
      <c r="O3" s="793"/>
      <c r="P3" s="793"/>
      <c r="Q3" s="793"/>
      <c r="R3" s="793"/>
      <c r="S3" s="793"/>
      <c r="T3" s="793"/>
      <c r="U3" s="793"/>
      <c r="V3" s="793"/>
      <c r="W3" s="793"/>
      <c r="X3" s="793"/>
      <c r="Y3" s="793"/>
      <c r="Z3" s="793"/>
      <c r="AA3" s="793"/>
      <c r="AB3" s="793"/>
      <c r="AC3" s="793"/>
      <c r="AD3" s="793"/>
    </row>
    <row r="4" spans="2:30" ht="12" customHeight="1">
      <c r="B4" s="269"/>
      <c r="C4" s="270" t="s">
        <v>2953</v>
      </c>
      <c r="D4" s="269"/>
      <c r="E4" s="269"/>
      <c r="F4" s="269"/>
      <c r="G4" s="793" t="str">
        <f>cst_wskakunin_BUILD_JYUKYO__address</f>
        <v/>
      </c>
      <c r="H4" s="793"/>
      <c r="I4" s="793"/>
      <c r="J4" s="793"/>
      <c r="K4" s="793"/>
      <c r="L4" s="793"/>
      <c r="M4" s="793"/>
      <c r="N4" s="793"/>
      <c r="O4" s="793"/>
      <c r="P4" s="793"/>
      <c r="Q4" s="793"/>
      <c r="R4" s="793"/>
      <c r="S4" s="793"/>
      <c r="T4" s="793"/>
      <c r="U4" s="793"/>
      <c r="V4" s="793"/>
      <c r="W4" s="793"/>
      <c r="X4" s="793"/>
      <c r="Y4" s="793"/>
      <c r="Z4" s="793"/>
      <c r="AA4" s="793"/>
      <c r="AB4" s="793"/>
      <c r="AC4" s="793"/>
      <c r="AD4" s="793"/>
    </row>
    <row r="5" spans="2:30" ht="12" customHeight="1">
      <c r="C5" s="12" t="s">
        <v>2954</v>
      </c>
    </row>
    <row r="6" spans="2:30" ht="12" customHeight="1">
      <c r="F6" s="271" t="str">
        <f>cst_wskakunin_KUIKI_TOSI</f>
        <v>□</v>
      </c>
      <c r="G6" s="254" t="s">
        <v>1743</v>
      </c>
      <c r="L6" s="249" t="s">
        <v>2912</v>
      </c>
      <c r="M6" s="271" t="str">
        <f>cst_wskakunin_KUIKI_SIGAIKA</f>
        <v>□</v>
      </c>
      <c r="N6" s="254" t="s">
        <v>1750</v>
      </c>
      <c r="Q6" s="271" t="str">
        <f>cst_wskakunin_KUIKI_TYOSEI</f>
        <v>□</v>
      </c>
      <c r="R6" s="254" t="s">
        <v>1756</v>
      </c>
      <c r="W6" s="271" t="str">
        <f>cst_wskakunin_KUIKI_HISETTEI</f>
        <v>□</v>
      </c>
      <c r="X6" s="254" t="s">
        <v>1759</v>
      </c>
      <c r="AB6" s="254" t="s">
        <v>2913</v>
      </c>
    </row>
    <row r="7" spans="2:30" ht="12" customHeight="1">
      <c r="F7" s="271" t="str">
        <f>cst_wskakunin_KUIKI_JYUN_TOSHI</f>
        <v>□</v>
      </c>
      <c r="G7" s="254" t="s">
        <v>2955</v>
      </c>
      <c r="M7" s="271" t="str">
        <f>cst_wskakunin_KUIKI_KUIKIGAI</f>
        <v>□</v>
      </c>
      <c r="N7" s="254" t="s">
        <v>2956</v>
      </c>
    </row>
    <row r="8" spans="2:30" ht="12" customHeight="1">
      <c r="B8" s="269"/>
      <c r="C8" s="270" t="s">
        <v>2957</v>
      </c>
      <c r="D8" s="269"/>
      <c r="E8" s="269"/>
      <c r="F8" s="269"/>
      <c r="G8" s="272" t="str">
        <f>cst_wskakunin_BOUKA_BOUKA</f>
        <v>□</v>
      </c>
      <c r="H8" s="269" t="s">
        <v>1771</v>
      </c>
      <c r="I8" s="269"/>
      <c r="J8" s="269"/>
      <c r="K8" s="269"/>
      <c r="L8" s="272" t="str">
        <f>cst_wskakunin_BOUKA_JYUN_BOUKA</f>
        <v>□</v>
      </c>
      <c r="M8" s="269" t="s">
        <v>1774</v>
      </c>
      <c r="N8" s="269"/>
      <c r="O8" s="269"/>
      <c r="P8" s="269"/>
      <c r="Q8" s="272" t="str">
        <f>cst_wskakunin_BOUKA_NASI</f>
        <v>□</v>
      </c>
      <c r="R8" s="269" t="s">
        <v>1777</v>
      </c>
      <c r="S8" s="269"/>
      <c r="T8" s="269"/>
      <c r="U8" s="269"/>
      <c r="V8" s="269"/>
      <c r="W8" s="269"/>
      <c r="X8" s="269"/>
      <c r="Y8" s="269"/>
      <c r="Z8" s="269"/>
      <c r="AA8" s="269"/>
      <c r="AB8" s="269"/>
      <c r="AC8" s="269"/>
      <c r="AD8" s="269"/>
    </row>
    <row r="9" spans="2:30" ht="12" customHeight="1">
      <c r="C9" s="273" t="s">
        <v>2958</v>
      </c>
      <c r="M9" s="259"/>
      <c r="N9" s="259"/>
      <c r="O9" s="259"/>
      <c r="P9" s="259"/>
      <c r="Q9" s="259"/>
      <c r="R9" s="259"/>
      <c r="S9" s="259"/>
      <c r="T9" s="259"/>
      <c r="U9" s="259"/>
      <c r="V9" s="259"/>
      <c r="W9" s="259"/>
      <c r="X9" s="259"/>
      <c r="Y9" s="259"/>
      <c r="Z9" s="259"/>
      <c r="AA9" s="259"/>
      <c r="AB9" s="259"/>
      <c r="AC9" s="259"/>
      <c r="AD9" s="259"/>
    </row>
    <row r="10" spans="2:30" ht="12" customHeight="1">
      <c r="C10" s="273"/>
      <c r="G10" s="794" t="str">
        <f>cst_wskakunin_wskakunin_SONOTA_KUIKI</f>
        <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row>
    <row r="11" spans="2:30" ht="12" customHeight="1">
      <c r="B11" s="260"/>
      <c r="C11" s="260"/>
      <c r="D11" s="260"/>
      <c r="E11" s="260"/>
      <c r="F11" s="260"/>
      <c r="G11" s="795"/>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row>
    <row r="12" spans="2:30" ht="12" customHeight="1">
      <c r="C12" s="12" t="s">
        <v>2959</v>
      </c>
    </row>
    <row r="13" spans="2:30" ht="12" customHeight="1">
      <c r="D13" s="254" t="s">
        <v>2960</v>
      </c>
      <c r="M13" s="796" t="str">
        <f>cst_wskakunin_DOURO_FUKUIN</f>
        <v/>
      </c>
      <c r="N13" s="796"/>
      <c r="O13" s="796"/>
      <c r="P13" s="249" t="s">
        <v>2961</v>
      </c>
    </row>
    <row r="14" spans="2:30" ht="12" customHeight="1">
      <c r="B14" s="260"/>
      <c r="C14" s="260"/>
      <c r="D14" s="260" t="s">
        <v>2962</v>
      </c>
      <c r="E14" s="260"/>
      <c r="F14" s="260"/>
      <c r="G14" s="260"/>
      <c r="H14" s="260"/>
      <c r="I14" s="260"/>
      <c r="J14" s="260"/>
      <c r="K14" s="260"/>
      <c r="L14" s="260"/>
      <c r="M14" s="797" t="str">
        <f>cst_wskakunin_DOURO_NAGASA</f>
        <v/>
      </c>
      <c r="N14" s="797"/>
      <c r="O14" s="797"/>
      <c r="P14" s="274" t="s">
        <v>2961</v>
      </c>
      <c r="Q14" s="260"/>
      <c r="R14" s="260"/>
      <c r="S14" s="260"/>
      <c r="T14" s="260"/>
      <c r="U14" s="260"/>
      <c r="V14" s="260"/>
      <c r="W14" s="260"/>
      <c r="X14" s="260"/>
      <c r="Y14" s="260"/>
      <c r="Z14" s="260"/>
      <c r="AA14" s="260"/>
      <c r="AB14" s="260"/>
      <c r="AC14" s="260"/>
      <c r="AD14" s="260"/>
    </row>
    <row r="15" spans="2:30" s="258" customFormat="1" ht="12" customHeight="1">
      <c r="C15" s="12" t="s">
        <v>2963</v>
      </c>
    </row>
    <row r="16" spans="2:30" s="258" customFormat="1" ht="12" customHeight="1">
      <c r="D16" s="258" t="s">
        <v>2964</v>
      </c>
      <c r="G16" s="275" t="s">
        <v>2965</v>
      </c>
      <c r="H16" s="258" t="s">
        <v>2912</v>
      </c>
      <c r="I16" s="798" t="str">
        <f>cst_wskakunin_SHIKITI_MENSEKI_1A</f>
        <v/>
      </c>
      <c r="J16" s="798"/>
      <c r="K16" s="798"/>
      <c r="L16" s="249" t="s">
        <v>2966</v>
      </c>
      <c r="M16" s="258" t="s">
        <v>2967</v>
      </c>
      <c r="N16" s="798" t="str">
        <f>cst_wskakunin_SHIKITI_MENSEKI_1B</f>
        <v/>
      </c>
      <c r="O16" s="798"/>
      <c r="P16" s="798"/>
      <c r="Q16" s="249" t="s">
        <v>2966</v>
      </c>
      <c r="R16" s="258" t="s">
        <v>2967</v>
      </c>
      <c r="S16" s="798" t="str">
        <f>cst_wskakunin_SHIKITI_MENSEKI_1C</f>
        <v/>
      </c>
      <c r="T16" s="798"/>
      <c r="U16" s="798"/>
      <c r="V16" s="249" t="s">
        <v>2966</v>
      </c>
      <c r="W16" s="258" t="s">
        <v>2967</v>
      </c>
      <c r="X16" s="798" t="str">
        <f>cst_wskakunin_SHIKITI_MENSEKI_1D</f>
        <v/>
      </c>
      <c r="Y16" s="798"/>
      <c r="Z16" s="798"/>
      <c r="AA16" s="249" t="s">
        <v>2966</v>
      </c>
      <c r="AB16" s="258" t="s">
        <v>2913</v>
      </c>
    </row>
    <row r="17" spans="2:30" s="258" customFormat="1" ht="12" customHeight="1">
      <c r="G17" s="275" t="s">
        <v>2968</v>
      </c>
      <c r="H17" s="258" t="s">
        <v>2912</v>
      </c>
      <c r="I17" s="798" t="str">
        <f>cst_wskakunin_SHIKITI_MENSEKI_2A</f>
        <v/>
      </c>
      <c r="J17" s="798"/>
      <c r="K17" s="798"/>
      <c r="L17" s="249" t="s">
        <v>2966</v>
      </c>
      <c r="M17" s="258" t="s">
        <v>2967</v>
      </c>
      <c r="N17" s="798" t="str">
        <f>cst_wskakunin_SHIKITI_MENSEKI_2B</f>
        <v/>
      </c>
      <c r="O17" s="798"/>
      <c r="P17" s="798"/>
      <c r="Q17" s="249" t="s">
        <v>2966</v>
      </c>
      <c r="R17" s="258" t="s">
        <v>2967</v>
      </c>
      <c r="S17" s="798" t="str">
        <f>cst_wskakunin_SHIKITI_MENSEKI_2C</f>
        <v/>
      </c>
      <c r="T17" s="798"/>
      <c r="U17" s="798"/>
      <c r="V17" s="249" t="s">
        <v>2966</v>
      </c>
      <c r="W17" s="258" t="s">
        <v>2967</v>
      </c>
      <c r="X17" s="798" t="str">
        <f>cst_wskakunin_SHIKITI_MENSEKI_2D</f>
        <v/>
      </c>
      <c r="Y17" s="798"/>
      <c r="Z17" s="798"/>
      <c r="AA17" s="249" t="s">
        <v>2966</v>
      </c>
      <c r="AB17" s="258" t="s">
        <v>2913</v>
      </c>
    </row>
    <row r="18" spans="2:30" s="258" customFormat="1" ht="12" customHeight="1">
      <c r="D18" s="258" t="s">
        <v>2969</v>
      </c>
      <c r="H18" s="258" t="s">
        <v>2912</v>
      </c>
      <c r="I18" s="791" t="str">
        <f>cst_wskakunin_YOUTO_TIIKI_A</f>
        <v/>
      </c>
      <c r="J18" s="791"/>
      <c r="K18" s="791"/>
      <c r="L18" s="791"/>
      <c r="M18" s="258" t="s">
        <v>2967</v>
      </c>
      <c r="N18" s="791" t="str">
        <f>cst_wskakunin_YOUTO_TIIKI_B</f>
        <v/>
      </c>
      <c r="O18" s="791"/>
      <c r="P18" s="791"/>
      <c r="Q18" s="791"/>
      <c r="R18" s="258" t="s">
        <v>2967</v>
      </c>
      <c r="S18" s="791" t="str">
        <f>cst_wskakunin_YOUTO_TIIKI_C</f>
        <v/>
      </c>
      <c r="T18" s="791"/>
      <c r="U18" s="791"/>
      <c r="V18" s="791"/>
      <c r="W18" s="258" t="s">
        <v>2967</v>
      </c>
      <c r="X18" s="791" t="str">
        <f>cst_wskakunin_YOUTO_TIIKI_D</f>
        <v/>
      </c>
      <c r="Y18" s="791"/>
      <c r="Z18" s="791"/>
      <c r="AA18" s="791"/>
      <c r="AB18" s="258" t="s">
        <v>2913</v>
      </c>
    </row>
    <row r="19" spans="2:30" s="258" customFormat="1" ht="12" customHeight="1">
      <c r="D19" s="258" t="s">
        <v>2970</v>
      </c>
    </row>
    <row r="20" spans="2:30" s="258" customFormat="1" ht="12" customHeight="1">
      <c r="H20" s="258" t="s">
        <v>2912</v>
      </c>
      <c r="I20" s="798" t="str">
        <f>cst_wskakunin_YOUSEKI_RITU_A</f>
        <v/>
      </c>
      <c r="J20" s="798"/>
      <c r="K20" s="798"/>
      <c r="L20" s="262" t="s">
        <v>2971</v>
      </c>
      <c r="M20" s="258" t="s">
        <v>2967</v>
      </c>
      <c r="N20" s="798" t="str">
        <f>cst_wskakunin_YOUSEKI_RITU_B</f>
        <v/>
      </c>
      <c r="O20" s="798"/>
      <c r="P20" s="798"/>
      <c r="Q20" s="262" t="s">
        <v>2971</v>
      </c>
      <c r="R20" s="258" t="s">
        <v>2967</v>
      </c>
      <c r="S20" s="798" t="str">
        <f>cst_wskakunin_YOUSEKI_RITU_C</f>
        <v/>
      </c>
      <c r="T20" s="798"/>
      <c r="U20" s="798"/>
      <c r="V20" s="262" t="s">
        <v>2971</v>
      </c>
      <c r="W20" s="258" t="s">
        <v>2967</v>
      </c>
      <c r="X20" s="798" t="str">
        <f>cst_wskakunin_YOUSEKI_RITU_D</f>
        <v/>
      </c>
      <c r="Y20" s="798"/>
      <c r="Z20" s="798"/>
      <c r="AA20" s="262" t="s">
        <v>2971</v>
      </c>
      <c r="AB20" s="258" t="s">
        <v>2913</v>
      </c>
    </row>
    <row r="21" spans="2:30" s="258" customFormat="1" ht="12" customHeight="1">
      <c r="D21" s="258" t="s">
        <v>2972</v>
      </c>
    </row>
    <row r="22" spans="2:30" s="258" customFormat="1" ht="12" customHeight="1">
      <c r="H22" s="258" t="s">
        <v>2912</v>
      </c>
      <c r="I22" s="798" t="str">
        <f>cst_wskakunin_KENPEI_RITU_A</f>
        <v/>
      </c>
      <c r="J22" s="798"/>
      <c r="K22" s="798"/>
      <c r="L22" s="262" t="s">
        <v>2971</v>
      </c>
      <c r="M22" s="258" t="s">
        <v>2967</v>
      </c>
      <c r="N22" s="798" t="str">
        <f>cst_wskakunin_KENPEI_RITU_B</f>
        <v/>
      </c>
      <c r="O22" s="798"/>
      <c r="P22" s="798"/>
      <c r="Q22" s="262" t="s">
        <v>2971</v>
      </c>
      <c r="R22" s="258" t="s">
        <v>2967</v>
      </c>
      <c r="S22" s="798" t="str">
        <f>cst_wskakunin_KENPEI_RITU_C</f>
        <v/>
      </c>
      <c r="T22" s="798"/>
      <c r="U22" s="798"/>
      <c r="V22" s="262" t="s">
        <v>2971</v>
      </c>
      <c r="W22" s="258" t="s">
        <v>2967</v>
      </c>
      <c r="X22" s="798" t="str">
        <f>cst_wskakunin_KENPEI_RITU_D</f>
        <v/>
      </c>
      <c r="Y22" s="798"/>
      <c r="Z22" s="798"/>
      <c r="AA22" s="262" t="s">
        <v>2971</v>
      </c>
      <c r="AB22" s="258" t="s">
        <v>2913</v>
      </c>
    </row>
    <row r="23" spans="2:30" s="258" customFormat="1" ht="12" customHeight="1">
      <c r="D23" s="258" t="s">
        <v>2973</v>
      </c>
      <c r="I23" s="275" t="s">
        <v>2965</v>
      </c>
      <c r="J23" s="798" t="str">
        <f>cst_wskakunin_SHIKITI_MENSEKI_1_TOTAL</f>
        <v/>
      </c>
      <c r="K23" s="798"/>
      <c r="L23" s="798"/>
      <c r="M23" s="258" t="s">
        <v>2966</v>
      </c>
    </row>
    <row r="24" spans="2:30" s="258" customFormat="1" ht="12" customHeight="1">
      <c r="I24" s="275" t="s">
        <v>2968</v>
      </c>
      <c r="J24" s="798" t="str">
        <f>cst_wskakunin_SHIKITI_MENSEKI_2_TOTAL</f>
        <v/>
      </c>
      <c r="K24" s="798"/>
      <c r="L24" s="798"/>
      <c r="M24" s="258" t="s">
        <v>2966</v>
      </c>
    </row>
    <row r="25" spans="2:30" s="258" customFormat="1" ht="12" customHeight="1">
      <c r="D25" s="258" t="s">
        <v>2974</v>
      </c>
      <c r="Q25" s="798" t="str">
        <f>cst_wskakunin_LIMIT_YOUSEKI_RITU</f>
        <v/>
      </c>
      <c r="R25" s="798"/>
      <c r="S25" s="798"/>
      <c r="T25" s="803" t="s">
        <v>2971</v>
      </c>
      <c r="U25" s="803"/>
    </row>
    <row r="26" spans="2:30" s="258" customFormat="1" ht="12" customHeight="1">
      <c r="D26" s="258" t="s">
        <v>2975</v>
      </c>
      <c r="Q26" s="798" t="str">
        <f>cst_wskakunin_LIMIT_KENPEI_RITU</f>
        <v/>
      </c>
      <c r="R26" s="798"/>
      <c r="S26" s="798"/>
      <c r="T26" s="803" t="s">
        <v>2971</v>
      </c>
      <c r="U26" s="803"/>
    </row>
    <row r="27" spans="2:30" s="258" customFormat="1" ht="12" customHeight="1">
      <c r="D27" s="258" t="s">
        <v>2976</v>
      </c>
      <c r="F27" s="16"/>
      <c r="G27"/>
      <c r="H27" s="804" t="str">
        <f>cst_wskakunin_SHIKITI_MENSEKI_BIKOU</f>
        <v/>
      </c>
      <c r="I27" s="804"/>
      <c r="J27" s="804"/>
      <c r="K27" s="804"/>
      <c r="L27" s="804"/>
      <c r="M27" s="804"/>
      <c r="N27" s="804"/>
      <c r="O27" s="804"/>
      <c r="P27" s="804"/>
      <c r="Q27" s="804"/>
      <c r="R27" s="804"/>
      <c r="S27" s="804"/>
      <c r="T27" s="804"/>
      <c r="U27" s="804"/>
      <c r="V27" s="804"/>
      <c r="W27" s="804"/>
      <c r="X27" s="804"/>
      <c r="Y27" s="804"/>
      <c r="Z27" s="804"/>
      <c r="AA27" s="804"/>
      <c r="AB27" s="804"/>
      <c r="AC27" s="804"/>
      <c r="AD27" s="804"/>
    </row>
    <row r="28" spans="2:30" s="258" customFormat="1" ht="12" customHeight="1">
      <c r="B28" s="263"/>
      <c r="C28" s="263"/>
      <c r="D28" s="263"/>
      <c r="E28" s="263"/>
      <c r="F28" s="185"/>
      <c r="G28" s="185"/>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row>
    <row r="29" spans="2:30" ht="12" customHeight="1">
      <c r="B29" s="732"/>
      <c r="C29" s="734" t="s">
        <v>2977</v>
      </c>
      <c r="D29" s="732"/>
      <c r="E29" s="732"/>
      <c r="F29" s="799" t="s">
        <v>2978</v>
      </c>
      <c r="G29" s="799"/>
      <c r="H29" s="800" t="str">
        <f>cst_wskakunin_YOUTO_CODE</f>
        <v/>
      </c>
      <c r="I29" s="800"/>
      <c r="J29" s="800"/>
      <c r="K29" s="800"/>
      <c r="L29" s="732" t="s">
        <v>2913</v>
      </c>
      <c r="M29" s="788" t="str">
        <f>cst_wskakunin_YOUTO</f>
        <v/>
      </c>
      <c r="N29" s="788"/>
      <c r="O29" s="788"/>
      <c r="P29" s="788"/>
      <c r="Q29" s="788"/>
      <c r="R29" s="788"/>
      <c r="S29" s="788"/>
      <c r="T29" s="788"/>
      <c r="U29" s="788"/>
      <c r="V29" s="788"/>
      <c r="W29" s="788"/>
      <c r="X29" s="788"/>
      <c r="Y29" s="788"/>
      <c r="Z29" s="788"/>
      <c r="AA29" s="788"/>
      <c r="AB29" s="788"/>
      <c r="AC29" s="788"/>
      <c r="AD29" s="788"/>
    </row>
    <row r="30" spans="2:30" ht="12" customHeight="1">
      <c r="B30" s="260"/>
      <c r="C30" s="276"/>
      <c r="D30" s="260"/>
      <c r="E30" s="260"/>
      <c r="F30" s="260"/>
      <c r="G30" s="274"/>
      <c r="H30" s="193"/>
      <c r="I30" s="193"/>
      <c r="J30" s="193"/>
      <c r="K30" s="193"/>
      <c r="L30" s="260"/>
      <c r="M30" s="801"/>
      <c r="N30" s="801"/>
      <c r="O30" s="801"/>
      <c r="P30" s="801"/>
      <c r="Q30" s="801"/>
      <c r="R30" s="801"/>
      <c r="S30" s="801"/>
      <c r="T30" s="801"/>
      <c r="U30" s="801"/>
      <c r="V30" s="801"/>
      <c r="W30" s="801"/>
      <c r="X30" s="801"/>
      <c r="Y30" s="801"/>
      <c r="Z30" s="801"/>
      <c r="AA30" s="801"/>
      <c r="AB30" s="801"/>
      <c r="AC30" s="801"/>
      <c r="AD30" s="801"/>
    </row>
    <row r="31" spans="2:30" ht="12" customHeight="1">
      <c r="C31" s="12" t="s">
        <v>2979</v>
      </c>
      <c r="G31" s="271" t="str">
        <f>cst_wskakunin_KOUJI_SINTIKU_box</f>
        <v>□</v>
      </c>
      <c r="H31" s="254" t="s">
        <v>1879</v>
      </c>
      <c r="K31" s="271" t="str">
        <f>cst_wskakunin_KOUJI_ZOUTIKU_box</f>
        <v>□</v>
      </c>
      <c r="L31" s="254" t="s">
        <v>1882</v>
      </c>
      <c r="N31" s="271" t="str">
        <f>cst_wskakunin_KOUJI_KAITIKU_box</f>
        <v>□</v>
      </c>
      <c r="O31" s="254" t="s">
        <v>1885</v>
      </c>
      <c r="Q31" s="271" t="str">
        <f>cst_wskakunin_KOUJI_ITEN_box</f>
        <v>□</v>
      </c>
      <c r="R31" s="254" t="s">
        <v>1888</v>
      </c>
      <c r="T31" s="271" t="str">
        <f>cst_wskakunin_KOUJI_YOUTOHENKOU_box</f>
        <v>□</v>
      </c>
      <c r="U31" s="254" t="s">
        <v>1891</v>
      </c>
    </row>
    <row r="32" spans="2:30" ht="12" customHeight="1">
      <c r="B32" s="260"/>
      <c r="C32" s="260"/>
      <c r="D32" s="260"/>
      <c r="E32" s="260"/>
      <c r="F32" s="260"/>
      <c r="G32" s="277" t="str">
        <f>cst_wskakunin_KOUJI_DAI_SYUUZEN_box</f>
        <v>□</v>
      </c>
      <c r="H32" s="260" t="s">
        <v>1895</v>
      </c>
      <c r="I32" s="260"/>
      <c r="J32" s="260"/>
      <c r="K32" s="260"/>
      <c r="L32" s="260"/>
      <c r="M32" s="260"/>
      <c r="N32" s="277" t="str">
        <f>cst_wskakunin_KOUJI_DAI_MOYOUGAE_box</f>
        <v>□</v>
      </c>
      <c r="O32" s="260" t="s">
        <v>1898</v>
      </c>
      <c r="P32" s="260"/>
      <c r="Q32" s="260"/>
      <c r="R32" s="260"/>
      <c r="S32" s="260"/>
      <c r="T32" s="260"/>
      <c r="U32" s="260"/>
      <c r="W32" s="278"/>
      <c r="X32" s="260"/>
      <c r="Y32" s="260"/>
      <c r="Z32" s="260"/>
      <c r="AA32" s="260"/>
      <c r="AB32" s="260"/>
      <c r="AC32" s="260"/>
      <c r="AD32" s="260"/>
    </row>
    <row r="33" spans="2:30" ht="12" customHeight="1">
      <c r="C33" s="12" t="s">
        <v>2980</v>
      </c>
      <c r="L33" s="279" t="s">
        <v>2912</v>
      </c>
      <c r="M33" s="799" t="s">
        <v>1980</v>
      </c>
      <c r="N33" s="799"/>
      <c r="O33" s="799"/>
      <c r="P33" s="799"/>
      <c r="Q33" s="254" t="s">
        <v>2913</v>
      </c>
      <c r="R33" s="279" t="s">
        <v>2912</v>
      </c>
      <c r="S33" s="799" t="s">
        <v>1983</v>
      </c>
      <c r="T33" s="799"/>
      <c r="U33" s="799"/>
      <c r="V33" s="799"/>
      <c r="W33" s="799"/>
      <c r="X33" s="254" t="s">
        <v>2913</v>
      </c>
      <c r="Y33" s="279" t="s">
        <v>2912</v>
      </c>
      <c r="Z33" s="799" t="s">
        <v>1986</v>
      </c>
      <c r="AA33" s="799"/>
      <c r="AB33" s="799"/>
      <c r="AC33" s="799"/>
      <c r="AD33" s="254" t="s">
        <v>2913</v>
      </c>
    </row>
    <row r="34" spans="2:30" ht="12" customHeight="1">
      <c r="D34" s="254" t="s">
        <v>3027</v>
      </c>
      <c r="L34" s="279" t="s">
        <v>2912</v>
      </c>
      <c r="M34" s="802" t="str">
        <f>cst_wskakunin_KENTIKU_MENSEKI_SHINSEI</f>
        <v/>
      </c>
      <c r="N34" s="802"/>
      <c r="O34" s="802"/>
      <c r="P34" s="249" t="s">
        <v>2966</v>
      </c>
      <c r="Q34" s="254" t="s">
        <v>2913</v>
      </c>
      <c r="R34" s="279" t="s">
        <v>2912</v>
      </c>
      <c r="S34" s="802" t="str">
        <f>cst_wskakunin_KENTIKU_MENSEKI_IGAI</f>
        <v/>
      </c>
      <c r="T34" s="802"/>
      <c r="U34" s="802"/>
      <c r="V34" s="802"/>
      <c r="W34" s="249" t="s">
        <v>2966</v>
      </c>
      <c r="X34" s="254" t="s">
        <v>2913</v>
      </c>
      <c r="Y34" s="279" t="s">
        <v>2912</v>
      </c>
      <c r="Z34" s="802" t="str">
        <f>cst_wskakunin_KENTIKU_MENSEKI_TOTAL</f>
        <v/>
      </c>
      <c r="AA34" s="802"/>
      <c r="AB34" s="802"/>
      <c r="AC34" s="249" t="s">
        <v>2966</v>
      </c>
      <c r="AD34" s="254" t="s">
        <v>2913</v>
      </c>
    </row>
    <row r="35" spans="2:30" ht="12" customHeight="1">
      <c r="B35" s="260"/>
      <c r="C35" s="260"/>
      <c r="D35" s="260" t="s">
        <v>3028</v>
      </c>
      <c r="E35" s="260"/>
      <c r="F35" s="260"/>
      <c r="G35" s="260"/>
      <c r="H35" s="260"/>
      <c r="I35" s="260"/>
      <c r="J35" s="260"/>
      <c r="K35" s="260"/>
      <c r="L35" s="260"/>
      <c r="M35" s="806" t="str">
        <f>cst_wskakunin_KENPEI_RITU</f>
        <v/>
      </c>
      <c r="N35" s="806"/>
      <c r="O35" s="806"/>
      <c r="P35" s="274" t="s">
        <v>2971</v>
      </c>
      <c r="Q35" s="260"/>
      <c r="R35" s="260"/>
      <c r="S35" s="260"/>
      <c r="T35" s="260"/>
      <c r="U35" s="260"/>
      <c r="V35" s="260"/>
      <c r="W35" s="260"/>
      <c r="X35" s="260"/>
      <c r="Y35" s="260"/>
      <c r="Z35" s="260"/>
      <c r="AA35" s="260"/>
      <c r="AB35" s="260"/>
      <c r="AC35" s="260"/>
      <c r="AD35" s="260"/>
    </row>
    <row r="36" spans="2:30" ht="12" customHeight="1">
      <c r="C36" s="12" t="s">
        <v>2984</v>
      </c>
      <c r="L36" s="279" t="s">
        <v>2912</v>
      </c>
      <c r="M36" s="799" t="s">
        <v>1980</v>
      </c>
      <c r="N36" s="799"/>
      <c r="O36" s="799"/>
      <c r="P36" s="799"/>
      <c r="Q36" s="254" t="s">
        <v>2913</v>
      </c>
      <c r="R36" s="279" t="s">
        <v>2912</v>
      </c>
      <c r="S36" s="799" t="s">
        <v>1983</v>
      </c>
      <c r="T36" s="799"/>
      <c r="U36" s="799"/>
      <c r="V36" s="799"/>
      <c r="W36" s="799"/>
      <c r="X36" s="254" t="s">
        <v>2913</v>
      </c>
      <c r="Y36" s="279" t="s">
        <v>2912</v>
      </c>
      <c r="Z36" s="799" t="s">
        <v>1986</v>
      </c>
      <c r="AA36" s="799"/>
      <c r="AB36" s="799"/>
      <c r="AC36" s="799"/>
      <c r="AD36" s="254" t="s">
        <v>2913</v>
      </c>
    </row>
    <row r="37" spans="2:30" ht="12" customHeight="1">
      <c r="D37" s="254" t="s">
        <v>2981</v>
      </c>
      <c r="L37" s="279" t="s">
        <v>2912</v>
      </c>
      <c r="M37" s="802" t="str">
        <f>cst_wskakunin_NOBE_MENSEKI_BUILD_SHINSEI</f>
        <v/>
      </c>
      <c r="N37" s="802"/>
      <c r="O37" s="802"/>
      <c r="P37" s="249" t="s">
        <v>2966</v>
      </c>
      <c r="Q37" s="254" t="s">
        <v>2913</v>
      </c>
      <c r="R37" s="279" t="s">
        <v>2912</v>
      </c>
      <c r="S37" s="802" t="str">
        <f>cst_wskakunin_NOBE_MENSEKI_BUILD_IGAI</f>
        <v/>
      </c>
      <c r="T37" s="802"/>
      <c r="U37" s="802"/>
      <c r="V37" s="802"/>
      <c r="W37" s="249" t="s">
        <v>2966</v>
      </c>
      <c r="X37" s="254" t="s">
        <v>2913</v>
      </c>
      <c r="Y37" s="279" t="s">
        <v>2912</v>
      </c>
      <c r="Z37" s="802" t="str">
        <f>cst_wskakunin_NOBE_MENSEKI_BUILD_TOTAL</f>
        <v/>
      </c>
      <c r="AA37" s="802"/>
      <c r="AB37" s="802"/>
      <c r="AC37" s="249" t="s">
        <v>2966</v>
      </c>
      <c r="AD37" s="254" t="s">
        <v>2913</v>
      </c>
    </row>
    <row r="38" spans="2:30" ht="12" customHeight="1">
      <c r="D38" s="254" t="s">
        <v>2985</v>
      </c>
    </row>
    <row r="39" spans="2:30" ht="12" customHeight="1">
      <c r="L39" s="279" t="s">
        <v>2912</v>
      </c>
      <c r="M39" s="802" t="str">
        <f>cst_wskakunin_NOBE_MENSEKI_TIKAI_SHINSEI</f>
        <v/>
      </c>
      <c r="N39" s="802"/>
      <c r="O39" s="802"/>
      <c r="P39" s="249" t="s">
        <v>2966</v>
      </c>
      <c r="Q39" s="254" t="s">
        <v>2913</v>
      </c>
      <c r="R39" s="279" t="s">
        <v>2912</v>
      </c>
      <c r="S39" s="802" t="str">
        <f>cst_wskakunin_NOBE_MENSEKI_TIKAI_IGAI</f>
        <v/>
      </c>
      <c r="T39" s="802"/>
      <c r="U39" s="802"/>
      <c r="V39" s="802"/>
      <c r="W39" s="249" t="s">
        <v>2966</v>
      </c>
      <c r="X39" s="254" t="s">
        <v>2913</v>
      </c>
      <c r="Y39" s="279" t="s">
        <v>2912</v>
      </c>
      <c r="Z39" s="802" t="str">
        <f>cst_wskakunin_NOBE_MENSEKI_TIKAI_TOTAL</f>
        <v/>
      </c>
      <c r="AA39" s="802"/>
      <c r="AB39" s="802"/>
      <c r="AC39" s="249" t="s">
        <v>2966</v>
      </c>
      <c r="AD39" s="254" t="s">
        <v>2913</v>
      </c>
    </row>
    <row r="40" spans="2:30" ht="12" customHeight="1">
      <c r="D40" s="254" t="s">
        <v>2986</v>
      </c>
      <c r="L40" s="279" t="s">
        <v>2912</v>
      </c>
      <c r="M40" s="802" t="str">
        <f>cst_wskakunin_NOBE_MENSEKI_SYOUKOURO_SHINSEI</f>
        <v/>
      </c>
      <c r="N40" s="802"/>
      <c r="O40" s="802"/>
      <c r="P40" s="249" t="s">
        <v>2966</v>
      </c>
      <c r="Q40" s="254" t="s">
        <v>2913</v>
      </c>
      <c r="R40" s="279" t="s">
        <v>2912</v>
      </c>
      <c r="S40" s="802" t="str">
        <f>cst_wskakunin_NOBE_MENSEKI_SYOUKOURO_IGAI</f>
        <v/>
      </c>
      <c r="T40" s="802"/>
      <c r="U40" s="802"/>
      <c r="V40" s="802"/>
      <c r="W40" s="249" t="s">
        <v>2966</v>
      </c>
      <c r="X40" s="254" t="s">
        <v>2913</v>
      </c>
      <c r="Y40" s="279" t="s">
        <v>2912</v>
      </c>
      <c r="Z40" s="802" t="str">
        <f>cst_wskakunin_NOBE_MENSEKI_SYOUKOURO_TOTAL</f>
        <v/>
      </c>
      <c r="AA40" s="802"/>
      <c r="AB40" s="802"/>
      <c r="AC40" s="249" t="s">
        <v>2966</v>
      </c>
      <c r="AD40" s="254" t="s">
        <v>2913</v>
      </c>
    </row>
    <row r="41" spans="2:30" ht="12" customHeight="1">
      <c r="D41" s="254" t="s">
        <v>3029</v>
      </c>
      <c r="L41" s="279" t="s">
        <v>2912</v>
      </c>
      <c r="M41" s="802" t="str">
        <f>cst_wskakunin_NOBE_MENSEKI_KYOYOU_SHINSEI</f>
        <v/>
      </c>
      <c r="N41" s="802"/>
      <c r="O41" s="802"/>
      <c r="P41" s="249" t="s">
        <v>2966</v>
      </c>
      <c r="Q41" s="254" t="s">
        <v>2913</v>
      </c>
      <c r="R41" s="279" t="s">
        <v>2912</v>
      </c>
      <c r="S41" s="802" t="str">
        <f>cst_wskakunin_NOBE_MENSEKI_KYOYOU_IGAI</f>
        <v/>
      </c>
      <c r="T41" s="802"/>
      <c r="U41" s="802"/>
      <c r="V41" s="802"/>
      <c r="W41" s="249" t="s">
        <v>2966</v>
      </c>
      <c r="X41" s="254" t="s">
        <v>2913</v>
      </c>
      <c r="Y41" s="279" t="s">
        <v>2912</v>
      </c>
      <c r="Z41" s="802" t="str">
        <f>cst_wskakunin_NOBE_MENSEKI_KYOYOU_TOTAL</f>
        <v/>
      </c>
      <c r="AA41" s="802"/>
      <c r="AB41" s="802"/>
      <c r="AC41" s="249" t="s">
        <v>2966</v>
      </c>
      <c r="AD41" s="254" t="s">
        <v>2913</v>
      </c>
    </row>
    <row r="42" spans="2:30" ht="12" customHeight="1">
      <c r="D42" s="254" t="s">
        <v>3030</v>
      </c>
      <c r="L42" s="279" t="s">
        <v>2912</v>
      </c>
      <c r="M42" s="802" t="str">
        <f>cst_wskakunin_NOBE_MENSEKI_SYAKO_SHINSEI</f>
        <v/>
      </c>
      <c r="N42" s="802"/>
      <c r="O42" s="802"/>
      <c r="P42" s="249" t="s">
        <v>2966</v>
      </c>
      <c r="Q42" s="254" t="s">
        <v>2913</v>
      </c>
      <c r="R42" s="279" t="s">
        <v>2912</v>
      </c>
      <c r="S42" s="802" t="str">
        <f>cst_wskakunin_NOBE_MENSEKI_SYAKO_IGAI</f>
        <v/>
      </c>
      <c r="T42" s="802"/>
      <c r="U42" s="802"/>
      <c r="V42" s="802"/>
      <c r="W42" s="249" t="s">
        <v>2966</v>
      </c>
      <c r="X42" s="254" t="s">
        <v>2913</v>
      </c>
      <c r="Y42" s="279" t="s">
        <v>2912</v>
      </c>
      <c r="Z42" s="802" t="str">
        <f>cst_wskakunin_NOBE_MENSEKI_SYAKO_TOTAL</f>
        <v/>
      </c>
      <c r="AA42" s="802"/>
      <c r="AB42" s="802"/>
      <c r="AC42" s="249" t="s">
        <v>2966</v>
      </c>
      <c r="AD42" s="254" t="s">
        <v>2913</v>
      </c>
    </row>
    <row r="43" spans="2:30" ht="12" customHeight="1">
      <c r="D43" s="254" t="s">
        <v>3031</v>
      </c>
      <c r="L43" s="279" t="s">
        <v>2912</v>
      </c>
      <c r="M43" s="802" t="str">
        <f>cst_wskakunin_NOBE_MENSEKI_BITIKUSOUKO_SHINSEI</f>
        <v/>
      </c>
      <c r="N43" s="802"/>
      <c r="O43" s="802"/>
      <c r="P43" s="249" t="s">
        <v>2966</v>
      </c>
      <c r="Q43" s="254" t="s">
        <v>2913</v>
      </c>
      <c r="R43" s="279" t="s">
        <v>2912</v>
      </c>
      <c r="S43" s="802" t="str">
        <f>cst_wskakunin_NOBE_MENSEKI_BITIKUSOUKO_IGAI</f>
        <v/>
      </c>
      <c r="T43" s="802"/>
      <c r="U43" s="802"/>
      <c r="V43" s="802"/>
      <c r="W43" s="249" t="s">
        <v>2966</v>
      </c>
      <c r="X43" s="254" t="s">
        <v>2913</v>
      </c>
      <c r="Y43" s="279" t="s">
        <v>2912</v>
      </c>
      <c r="Z43" s="802" t="str">
        <f>cst_wskakunin_NOBE_MENSEKI_BITIKUSOUKO_TOTAL</f>
        <v/>
      </c>
      <c r="AA43" s="802"/>
      <c r="AB43" s="802"/>
      <c r="AC43" s="249" t="s">
        <v>2966</v>
      </c>
      <c r="AD43" s="254" t="s">
        <v>2913</v>
      </c>
    </row>
    <row r="44" spans="2:30" ht="12" customHeight="1">
      <c r="D44" s="254" t="s">
        <v>3032</v>
      </c>
      <c r="L44" s="279" t="s">
        <v>2912</v>
      </c>
      <c r="M44" s="802" t="str">
        <f>cst_wskakunin_NOBE_MENSEKI_TIKUDENTI_SHINSEI</f>
        <v/>
      </c>
      <c r="N44" s="802"/>
      <c r="O44" s="802"/>
      <c r="P44" s="249" t="s">
        <v>2966</v>
      </c>
      <c r="Q44" s="254" t="s">
        <v>2913</v>
      </c>
      <c r="R44" s="279" t="s">
        <v>2912</v>
      </c>
      <c r="S44" s="802" t="str">
        <f>cst_wskakunin_NOBE_MENSEKI_TIKUDENTI_IGAI</f>
        <v/>
      </c>
      <c r="T44" s="802"/>
      <c r="U44" s="802"/>
      <c r="V44" s="802"/>
      <c r="W44" s="249" t="s">
        <v>2966</v>
      </c>
      <c r="X44" s="254" t="s">
        <v>2913</v>
      </c>
      <c r="Y44" s="279" t="s">
        <v>2912</v>
      </c>
      <c r="Z44" s="802" t="str">
        <f>cst_wskakunin_NOBE_MENSEKI_TIKUDENTI_TOTAL</f>
        <v/>
      </c>
      <c r="AA44" s="802"/>
      <c r="AB44" s="802"/>
      <c r="AC44" s="249" t="s">
        <v>2966</v>
      </c>
      <c r="AD44" s="254" t="s">
        <v>2913</v>
      </c>
    </row>
    <row r="45" spans="2:30" ht="12" customHeight="1">
      <c r="D45" s="254" t="s">
        <v>3033</v>
      </c>
      <c r="L45" s="279" t="s">
        <v>2912</v>
      </c>
      <c r="M45" s="802" t="str">
        <f>cst_wskakunin_NOBE_MENSEKI_JIKAHATUDEN_SHINSEI</f>
        <v/>
      </c>
      <c r="N45" s="802"/>
      <c r="O45" s="802"/>
      <c r="P45" s="249" t="s">
        <v>2966</v>
      </c>
      <c r="Q45" s="254" t="s">
        <v>2913</v>
      </c>
      <c r="R45" s="279" t="s">
        <v>2912</v>
      </c>
      <c r="S45" s="802" t="str">
        <f>cst_wskakunin_NOBE_MENSEKI_JIKAHATUDEN_IGAI</f>
        <v/>
      </c>
      <c r="T45" s="802"/>
      <c r="U45" s="802"/>
      <c r="V45" s="802"/>
      <c r="W45" s="249" t="s">
        <v>2966</v>
      </c>
      <c r="X45" s="254" t="s">
        <v>2913</v>
      </c>
      <c r="Y45" s="279" t="s">
        <v>2912</v>
      </c>
      <c r="Z45" s="802" t="str">
        <f>cst_wskakunin_NOBE_MENSEKI_JIKAHATUDEN_TOTAL</f>
        <v/>
      </c>
      <c r="AA45" s="802"/>
      <c r="AB45" s="802"/>
      <c r="AC45" s="249" t="s">
        <v>2966</v>
      </c>
      <c r="AD45" s="254" t="s">
        <v>2913</v>
      </c>
    </row>
    <row r="46" spans="2:30" ht="12" customHeight="1">
      <c r="D46" s="254" t="s">
        <v>3034</v>
      </c>
      <c r="L46" s="279" t="s">
        <v>2912</v>
      </c>
      <c r="M46" s="802" t="str">
        <f>cst_wskakunin_NOBE_MENSEKI_CHOSUISOU_SHINSEI</f>
        <v/>
      </c>
      <c r="N46" s="802"/>
      <c r="O46" s="802"/>
      <c r="P46" s="249" t="s">
        <v>2966</v>
      </c>
      <c r="Q46" s="254" t="s">
        <v>2913</v>
      </c>
      <c r="R46" s="279" t="s">
        <v>2912</v>
      </c>
      <c r="S46" s="802" t="str">
        <f>cst_wskakunin_NOBE_MENSEKI_CHOSUISOU_IGAI</f>
        <v/>
      </c>
      <c r="T46" s="802"/>
      <c r="U46" s="802"/>
      <c r="V46" s="802"/>
      <c r="W46" s="249" t="s">
        <v>2966</v>
      </c>
      <c r="X46" s="254" t="s">
        <v>2913</v>
      </c>
      <c r="Y46" s="279" t="s">
        <v>2912</v>
      </c>
      <c r="Z46" s="802" t="str">
        <f>cst_wskakunin_NOBE_MENSEKI_CHOSUISOU_TOTAL</f>
        <v/>
      </c>
      <c r="AA46" s="802"/>
      <c r="AB46" s="802"/>
      <c r="AC46" s="249" t="s">
        <v>2966</v>
      </c>
      <c r="AD46" s="254" t="s">
        <v>2913</v>
      </c>
    </row>
    <row r="47" spans="2:30" ht="12" customHeight="1">
      <c r="D47" s="254" t="s">
        <v>3035</v>
      </c>
      <c r="L47" s="279" t="s">
        <v>2912</v>
      </c>
      <c r="M47" s="802" t="str">
        <f>cst_wskakunin_NOBE_MENSEKI_TAKUHAI_SHINSEI</f>
        <v/>
      </c>
      <c r="N47" s="802"/>
      <c r="O47" s="802"/>
      <c r="P47" s="249" t="s">
        <v>2966</v>
      </c>
      <c r="Q47" s="254" t="s">
        <v>2913</v>
      </c>
      <c r="R47" s="279" t="s">
        <v>2912</v>
      </c>
      <c r="S47" s="802" t="str">
        <f>cst_wskakunin_NOBE_MENSEKI_TAKUHAI_IGAI</f>
        <v/>
      </c>
      <c r="T47" s="802"/>
      <c r="U47" s="802"/>
      <c r="V47" s="802"/>
      <c r="W47" s="249" t="s">
        <v>2966</v>
      </c>
      <c r="X47" s="254" t="s">
        <v>2913</v>
      </c>
      <c r="Y47" s="279" t="s">
        <v>2912</v>
      </c>
      <c r="Z47" s="802" t="str">
        <f>cst_wskakunin_NOBE_MENSEKI_TAKUHAI_TOTAL</f>
        <v/>
      </c>
      <c r="AA47" s="802"/>
      <c r="AB47" s="802"/>
      <c r="AC47" s="249" t="s">
        <v>2966</v>
      </c>
      <c r="AD47" s="254" t="s">
        <v>2913</v>
      </c>
    </row>
    <row r="48" spans="2:30" ht="12" customHeight="1">
      <c r="D48" s="254" t="s">
        <v>3036</v>
      </c>
      <c r="L48" s="279" t="s">
        <v>2912</v>
      </c>
      <c r="M48" s="802" t="str">
        <f>cst_wskakunin_NOBE_MENSEKI_JYUTAKU_SHINSEI</f>
        <v/>
      </c>
      <c r="N48" s="802"/>
      <c r="O48" s="802"/>
      <c r="P48" s="249" t="s">
        <v>2966</v>
      </c>
      <c r="Q48" s="254" t="s">
        <v>2913</v>
      </c>
      <c r="R48" s="279" t="s">
        <v>2912</v>
      </c>
      <c r="S48" s="802" t="str">
        <f>cst_wskakunin_NOBE_MENSEKI_JYUTAKU_IGAI</f>
        <v/>
      </c>
      <c r="T48" s="802"/>
      <c r="U48" s="802"/>
      <c r="V48" s="802"/>
      <c r="W48" s="249" t="s">
        <v>2966</v>
      </c>
      <c r="X48" s="254" t="s">
        <v>2913</v>
      </c>
      <c r="Y48" s="279" t="s">
        <v>2912</v>
      </c>
      <c r="Z48" s="802" t="str">
        <f>cst_wskakunin_NOBE_MENSEKI_JYUTAKU_TOTAL</f>
        <v/>
      </c>
      <c r="AA48" s="802"/>
      <c r="AB48" s="802"/>
      <c r="AC48" s="249" t="s">
        <v>2966</v>
      </c>
      <c r="AD48" s="254" t="s">
        <v>2913</v>
      </c>
    </row>
    <row r="49" spans="2:30" ht="12" customHeight="1">
      <c r="D49" s="254" t="s">
        <v>3037</v>
      </c>
      <c r="L49" s="279" t="s">
        <v>2912</v>
      </c>
      <c r="M49" s="802" t="str">
        <f>cst_wskakunin_NOBE_MENSEKI_ROUJIN_SHINSEI</f>
        <v/>
      </c>
      <c r="N49" s="802"/>
      <c r="O49" s="802"/>
      <c r="P49" s="249" t="s">
        <v>2966</v>
      </c>
      <c r="Q49" s="254" t="s">
        <v>2913</v>
      </c>
      <c r="R49" s="279" t="s">
        <v>2912</v>
      </c>
      <c r="S49" s="802" t="str">
        <f>cst_wskakunin_NOBE_MENSEKI_ROUJIN_IGAI</f>
        <v/>
      </c>
      <c r="T49" s="802"/>
      <c r="U49" s="802"/>
      <c r="V49" s="802"/>
      <c r="W49" s="249" t="s">
        <v>2966</v>
      </c>
      <c r="X49" s="254" t="s">
        <v>2913</v>
      </c>
      <c r="Y49" s="279" t="s">
        <v>2912</v>
      </c>
      <c r="Z49" s="802" t="str">
        <f>cst_wskakunin_NOBE_MENSEKI_ROUJIN_TOTAL</f>
        <v/>
      </c>
      <c r="AA49" s="802"/>
      <c r="AB49" s="802"/>
      <c r="AC49" s="249" t="s">
        <v>2966</v>
      </c>
      <c r="AD49" s="254" t="s">
        <v>2913</v>
      </c>
    </row>
    <row r="50" spans="2:30" ht="12" customHeight="1">
      <c r="D50" s="254" t="s">
        <v>3038</v>
      </c>
      <c r="L50" s="279" t="s">
        <v>2912</v>
      </c>
      <c r="M50" s="802" t="str">
        <f>cst_wskakunin_NOBE_MENSEKI</f>
        <v/>
      </c>
      <c r="N50" s="802"/>
      <c r="O50" s="802"/>
      <c r="P50" s="249" t="s">
        <v>2966</v>
      </c>
      <c r="Q50" s="254" t="s">
        <v>2913</v>
      </c>
      <c r="R50" s="279"/>
      <c r="S50" s="16"/>
      <c r="T50" s="16"/>
      <c r="U50" s="16"/>
      <c r="V50" s="16"/>
      <c r="W50" s="249"/>
    </row>
    <row r="51" spans="2:30" ht="12" customHeight="1">
      <c r="B51" s="260"/>
      <c r="C51" s="260"/>
      <c r="D51" s="260" t="s">
        <v>3039</v>
      </c>
      <c r="E51" s="260"/>
      <c r="F51" s="260"/>
      <c r="G51" s="260"/>
      <c r="H51" s="260"/>
      <c r="I51" s="260"/>
      <c r="J51" s="260"/>
      <c r="K51" s="260"/>
      <c r="L51" s="278"/>
      <c r="M51" s="806" t="str">
        <f>cst_wskakunin_YOUSEKI_RITU</f>
        <v/>
      </c>
      <c r="N51" s="806"/>
      <c r="O51" s="806"/>
      <c r="P51" s="274" t="s">
        <v>2971</v>
      </c>
      <c r="Q51" s="260"/>
      <c r="R51" s="278"/>
      <c r="S51" s="193"/>
      <c r="T51" s="193"/>
      <c r="U51" s="193"/>
      <c r="V51" s="193"/>
      <c r="W51" s="274"/>
      <c r="X51" s="260"/>
      <c r="Y51" s="278"/>
      <c r="Z51" s="193"/>
      <c r="AA51" s="193"/>
      <c r="AB51" s="193"/>
      <c r="AC51" s="274"/>
      <c r="AD51" s="260"/>
    </row>
    <row r="52" spans="2:30" ht="12" customHeight="1">
      <c r="C52" s="12" t="s">
        <v>3000</v>
      </c>
    </row>
    <row r="53" spans="2:30" ht="12" customHeight="1">
      <c r="D53" s="254" t="s">
        <v>3001</v>
      </c>
      <c r="M53" s="808" t="str">
        <f>cst_wskakunin_BUILD_SHINSEI_COUNT</f>
        <v/>
      </c>
      <c r="N53" s="808"/>
    </row>
    <row r="54" spans="2:30" ht="12" customHeight="1">
      <c r="B54" s="260"/>
      <c r="C54" s="260"/>
      <c r="D54" s="260" t="s">
        <v>3002</v>
      </c>
      <c r="E54" s="260"/>
      <c r="F54" s="260"/>
      <c r="G54" s="260"/>
      <c r="H54" s="260"/>
      <c r="I54" s="260"/>
      <c r="J54" s="260"/>
      <c r="K54" s="260"/>
      <c r="L54" s="260"/>
      <c r="M54" s="809" t="str">
        <f>cst_wskakunin_BUILD_SONOTA_COUNT</f>
        <v/>
      </c>
      <c r="N54" s="809"/>
      <c r="O54" s="260"/>
      <c r="P54" s="260"/>
      <c r="Q54" s="260"/>
      <c r="R54" s="260"/>
      <c r="S54" s="260"/>
      <c r="T54" s="260"/>
      <c r="U54" s="260"/>
      <c r="V54" s="260"/>
      <c r="W54" s="260"/>
      <c r="X54" s="260"/>
      <c r="Y54" s="260"/>
      <c r="Z54" s="260"/>
      <c r="AA54" s="260"/>
      <c r="AB54" s="260"/>
      <c r="AC54" s="260"/>
      <c r="AD54" s="260"/>
    </row>
    <row r="55" spans="2:30" ht="12" customHeight="1">
      <c r="C55" s="12" t="s">
        <v>3003</v>
      </c>
      <c r="I55" s="279" t="s">
        <v>2912</v>
      </c>
      <c r="J55" s="799" t="s">
        <v>2111</v>
      </c>
      <c r="K55" s="799"/>
      <c r="L55" s="799"/>
      <c r="M55" s="799"/>
      <c r="N55" s="799"/>
      <c r="O55" s="254" t="s">
        <v>2913</v>
      </c>
      <c r="Q55" s="279" t="s">
        <v>2912</v>
      </c>
      <c r="R55" s="799" t="s">
        <v>2114</v>
      </c>
      <c r="S55" s="799"/>
      <c r="T55" s="799"/>
      <c r="U55" s="799"/>
      <c r="V55" s="799"/>
      <c r="W55" s="254" t="s">
        <v>2913</v>
      </c>
    </row>
    <row r="56" spans="2:30" ht="12" customHeight="1">
      <c r="D56" s="254" t="s">
        <v>3004</v>
      </c>
      <c r="I56" s="279" t="s">
        <v>2912</v>
      </c>
      <c r="J56" s="807" t="str">
        <f>cst_wskakunin_TAKASA_MAX_SHINSEI</f>
        <v/>
      </c>
      <c r="K56" s="807"/>
      <c r="L56" s="807"/>
      <c r="M56" s="807"/>
      <c r="N56" s="254" t="s">
        <v>2961</v>
      </c>
      <c r="O56" s="254" t="s">
        <v>2913</v>
      </c>
      <c r="Q56" s="279" t="s">
        <v>2912</v>
      </c>
      <c r="R56" s="807" t="str">
        <f>cst_wskakunin_TAKASA_MAX_SONOTA</f>
        <v/>
      </c>
      <c r="S56" s="807"/>
      <c r="T56" s="807"/>
      <c r="U56" s="807"/>
      <c r="V56" s="254" t="s">
        <v>2961</v>
      </c>
      <c r="W56" s="254" t="s">
        <v>2913</v>
      </c>
    </row>
    <row r="57" spans="2:30" ht="12" customHeight="1">
      <c r="D57" s="254" t="s">
        <v>3005</v>
      </c>
      <c r="G57" s="254" t="s">
        <v>3006</v>
      </c>
      <c r="I57" s="279" t="s">
        <v>2912</v>
      </c>
      <c r="J57" s="808" t="str">
        <f>cst_wskakunin_KAISU_TIJYOU_SHINSEI</f>
        <v/>
      </c>
      <c r="K57" s="808"/>
      <c r="L57" s="808"/>
      <c r="M57" s="808"/>
      <c r="N57" s="254" t="s">
        <v>3007</v>
      </c>
      <c r="O57" s="254" t="s">
        <v>2913</v>
      </c>
      <c r="Q57" s="279" t="s">
        <v>2912</v>
      </c>
      <c r="R57" s="808" t="str">
        <f>cst_wskakunin_KAISU_TIJYOU_SONOTA</f>
        <v/>
      </c>
      <c r="S57" s="808"/>
      <c r="T57" s="808"/>
      <c r="U57" s="808"/>
      <c r="V57" s="254" t="s">
        <v>3007</v>
      </c>
      <c r="W57" s="254" t="s">
        <v>2913</v>
      </c>
    </row>
    <row r="58" spans="2:30" ht="12" customHeight="1">
      <c r="G58" s="254" t="s">
        <v>3008</v>
      </c>
      <c r="I58" s="279" t="s">
        <v>2912</v>
      </c>
      <c r="J58" s="808" t="str">
        <f>cst_wskakunin_KAISU_TIKA_SHINSEI__zero</f>
        <v>0</v>
      </c>
      <c r="K58" s="808"/>
      <c r="L58" s="808"/>
      <c r="M58" s="808"/>
      <c r="N58" s="254" t="s">
        <v>3007</v>
      </c>
      <c r="O58" s="254" t="s">
        <v>2913</v>
      </c>
      <c r="Q58" s="279" t="s">
        <v>2912</v>
      </c>
      <c r="R58" s="808" t="str">
        <f>cst_wskakunin_KAISU_TIKA_SONOTA</f>
        <v/>
      </c>
      <c r="S58" s="808"/>
      <c r="T58" s="808"/>
      <c r="U58" s="808"/>
      <c r="V58" s="254" t="s">
        <v>3007</v>
      </c>
      <c r="W58" s="254" t="s">
        <v>2913</v>
      </c>
    </row>
    <row r="59" spans="2:30" ht="12" customHeight="1">
      <c r="D59" s="254" t="s">
        <v>3009</v>
      </c>
      <c r="G59" s="254" t="s">
        <v>1695</v>
      </c>
      <c r="I59" s="279" t="s">
        <v>2912</v>
      </c>
      <c r="J59" s="778" t="str">
        <f>cst_wskakunin_KOUZOU1</f>
        <v/>
      </c>
      <c r="K59" s="778"/>
      <c r="L59" s="778"/>
      <c r="M59" s="778"/>
      <c r="O59" s="254" t="s">
        <v>2913</v>
      </c>
      <c r="P59" s="279"/>
      <c r="Q59" s="279" t="s">
        <v>2912</v>
      </c>
      <c r="R59" s="778" t="str">
        <f>cst_wskakunin_KOUZOU2</f>
        <v/>
      </c>
      <c r="S59" s="778"/>
      <c r="T59" s="778"/>
      <c r="U59" s="778"/>
      <c r="V59" s="778"/>
      <c r="W59" s="254" t="s">
        <v>2913</v>
      </c>
    </row>
    <row r="60" spans="2:30" ht="12" customHeight="1">
      <c r="D60" s="254" t="s">
        <v>3010</v>
      </c>
      <c r="S60" s="271" t="str">
        <f>cst_wskakunin_TOKUREI_TAKASA_box_on</f>
        <v>□</v>
      </c>
      <c r="T60" s="254" t="s">
        <v>3011</v>
      </c>
      <c r="V60" s="271" t="str">
        <f>cst_wskakunin_TOKUREI_TAKASA_box_off</f>
        <v>□</v>
      </c>
      <c r="W60" s="254" t="s">
        <v>3012</v>
      </c>
    </row>
    <row r="61" spans="2:30" ht="12" customHeight="1">
      <c r="D61" s="254" t="s">
        <v>3013</v>
      </c>
    </row>
    <row r="62" spans="2:30" ht="12" customHeight="1">
      <c r="B62" s="260"/>
      <c r="C62" s="260"/>
      <c r="D62" s="260"/>
      <c r="E62" s="260"/>
      <c r="F62" s="277" t="str">
        <f>cst_wskakunin_TOKUREI_TAKASA_DOURO</f>
        <v>□</v>
      </c>
      <c r="G62" s="260" t="s">
        <v>3014</v>
      </c>
      <c r="H62" s="260"/>
      <c r="I62" s="260"/>
      <c r="J62" s="260"/>
      <c r="K62" s="260"/>
      <c r="L62" s="260"/>
      <c r="M62" s="277" t="str">
        <f>cst_wskakunin_TOKUREI_TAKASA_RINTI</f>
        <v>□</v>
      </c>
      <c r="N62" s="260" t="s">
        <v>2148</v>
      </c>
      <c r="O62" s="260"/>
      <c r="P62" s="260"/>
      <c r="Q62" s="260"/>
      <c r="R62" s="260"/>
      <c r="S62" s="260"/>
      <c r="T62" s="277" t="str">
        <f>cst_wskakunin_TOKUREI_TAKASA_KITA</f>
        <v>□</v>
      </c>
      <c r="U62" s="260" t="s">
        <v>2151</v>
      </c>
      <c r="V62" s="260"/>
      <c r="W62" s="260"/>
      <c r="X62" s="260"/>
      <c r="Y62" s="260"/>
      <c r="Z62" s="260"/>
      <c r="AA62" s="260"/>
      <c r="AB62" s="260"/>
      <c r="AC62" s="260"/>
      <c r="AD62" s="260"/>
    </row>
    <row r="63" spans="2:30" ht="12" customHeight="1">
      <c r="C63" s="12" t="s">
        <v>3015</v>
      </c>
      <c r="H63" s="818" t="str">
        <f>cst_wskakunin_kyoka01_HOUREI&amp;" "&amp;cst_wskakunin_kyoka01_JOUKOU&amp;" "&amp;cst_wskakunin_kyoka01_KYOKA_NO&amp;" "&amp;IF(cst_wskakunin_kyoka01_KYOKA_DATE="","",TEXT(cst_wskakunin_kyoka01_KYOKA_DATE,"yyyy")&amp;"年"&amp;TEXT(cst_wskakunin_kyoka01_KYOKA_DATE,"m")&amp;"月"&amp;TEXT(cst_wskakunin_kyoka01_KYOKA_DATE,"d")&amp;"日"&amp;" "&amp;cst_wskakunin_kyoka01_BIKOU)</f>
        <v xml:space="preserve">   </v>
      </c>
      <c r="I63" s="818"/>
      <c r="J63" s="818"/>
      <c r="K63" s="818"/>
      <c r="L63" s="818"/>
      <c r="M63" s="818"/>
      <c r="N63" s="818"/>
      <c r="O63" s="818"/>
      <c r="P63" s="818"/>
      <c r="Q63" s="818"/>
      <c r="R63" s="818"/>
      <c r="S63" s="818"/>
      <c r="T63" s="818"/>
      <c r="U63" s="818"/>
      <c r="V63" s="818"/>
      <c r="W63" s="818"/>
      <c r="X63" s="818"/>
      <c r="Y63" s="818"/>
      <c r="Z63" s="818"/>
      <c r="AA63" s="818"/>
      <c r="AB63" s="818"/>
      <c r="AC63" s="818"/>
      <c r="AD63" s="818"/>
    </row>
    <row r="64" spans="2:30" ht="11.1" customHeight="1">
      <c r="H64" s="775" t="str">
        <f>cst_wskakunin_kyoka02_HOUREI&amp;" "&amp;cst_wskakunin_kyoka02_JOUKOU&amp;" "&amp;cst_wskakunin_kyoka02_KYOKA_NO&amp;" "&amp;IF(cst_wskakunin_kyoka02_KYOKA_DATE="","",TEXT(cst_wskakunin_kyoka02_KYOKA_DATE,"yyyy")&amp;"年"&amp;TEXT(cst_wskakunin_kyoka02_KYOKA_DATE,"m")&amp;"月"&amp;TEXT(cst_wskakunin_kyoka02_KYOKA_DATE,"d")&amp;"日"&amp;" "&amp;cst_wskakunin_kyoka02_BIKOU)</f>
        <v xml:space="preserve">   </v>
      </c>
      <c r="I64" s="775"/>
      <c r="J64" s="775"/>
      <c r="K64" s="775"/>
      <c r="L64" s="775"/>
      <c r="M64" s="775"/>
      <c r="N64" s="775"/>
      <c r="O64" s="775"/>
      <c r="P64" s="775"/>
      <c r="Q64" s="775"/>
      <c r="R64" s="775"/>
      <c r="S64" s="775"/>
      <c r="T64" s="775"/>
      <c r="U64" s="775"/>
      <c r="V64" s="775"/>
      <c r="W64" s="775"/>
      <c r="X64" s="775"/>
      <c r="Y64" s="775"/>
      <c r="Z64" s="775"/>
      <c r="AA64" s="775"/>
      <c r="AB64" s="775"/>
      <c r="AC64" s="775"/>
      <c r="AD64" s="775"/>
    </row>
    <row r="65" spans="2:30" ht="11.1" customHeight="1">
      <c r="H65" s="777" t="str">
        <f>cst_wskakunin_kyoka03_HOUREI&amp;" "&amp;cst_wskakunin_kyoka03_JOUKOU&amp;" "&amp;cst_wskakunin_kyoka03_KYOKA_NO&amp;" "&amp;IF(cst_wskakunin_kyoka03_KYOKA_DATE="","",TEXT(cst_wskakunin_kyoka03_KYOKA_DATE,"yyyy")&amp;"年"&amp;TEXT(cst_wskakunin_kyoka03_KYOKA_DATE,"m")&amp;"月"&amp;TEXT(cst_wskakunin_kyoka03_KYOKA_DATE,"d")&amp;"日"&amp;" "&amp;cst_wskakunin_kyoka03_BIKOU)</f>
        <v xml:space="preserve">   </v>
      </c>
      <c r="I65" s="777"/>
      <c r="J65" s="777"/>
      <c r="K65" s="777"/>
      <c r="L65" s="777"/>
      <c r="M65" s="777"/>
      <c r="N65" s="777"/>
      <c r="O65" s="777"/>
      <c r="P65" s="777"/>
      <c r="Q65" s="777"/>
      <c r="R65" s="777"/>
      <c r="S65" s="777"/>
      <c r="T65" s="777"/>
      <c r="U65" s="777"/>
      <c r="V65" s="777"/>
      <c r="W65" s="777"/>
      <c r="X65" s="777"/>
      <c r="Y65" s="777"/>
      <c r="Z65" s="777"/>
      <c r="AA65" s="777"/>
      <c r="AB65" s="777"/>
      <c r="AC65" s="777"/>
      <c r="AD65" s="777"/>
    </row>
    <row r="66" spans="2:30" ht="12" customHeight="1">
      <c r="B66" s="269"/>
      <c r="C66" s="270" t="s">
        <v>3016</v>
      </c>
      <c r="D66" s="269"/>
      <c r="E66" s="269"/>
      <c r="F66" s="269"/>
      <c r="G66" s="269"/>
      <c r="H66" s="269"/>
      <c r="I66" s="269"/>
      <c r="J66" s="817" t="str">
        <f>cst_wskakunin_KOUJI_TYAKUSYU_YOTEI_DATE</f>
        <v/>
      </c>
      <c r="K66" s="817"/>
      <c r="L66" s="817"/>
      <c r="M66" s="817"/>
      <c r="N66" s="817"/>
      <c r="O66" s="817"/>
      <c r="P66" s="817"/>
      <c r="Q66" s="817"/>
      <c r="R66" s="269"/>
      <c r="S66" s="269"/>
      <c r="T66" s="269"/>
      <c r="U66" s="269"/>
      <c r="V66" s="269"/>
      <c r="W66" s="269"/>
      <c r="X66" s="269"/>
      <c r="Y66" s="269"/>
      <c r="Z66" s="269"/>
      <c r="AA66" s="269"/>
      <c r="AB66" s="269"/>
      <c r="AC66" s="269"/>
      <c r="AD66" s="269"/>
    </row>
    <row r="67" spans="2:30" ht="12" customHeight="1">
      <c r="B67" s="269"/>
      <c r="C67" s="270" t="s">
        <v>3017</v>
      </c>
      <c r="D67" s="269"/>
      <c r="E67" s="269"/>
      <c r="F67" s="269"/>
      <c r="G67" s="269"/>
      <c r="H67" s="269"/>
      <c r="I67" s="269"/>
      <c r="J67" s="817" t="str">
        <f>cst_wskakunin_KOUJI_KANRYOU_YOTEI_DATE</f>
        <v/>
      </c>
      <c r="K67" s="817"/>
      <c r="L67" s="817"/>
      <c r="M67" s="817"/>
      <c r="N67" s="817"/>
      <c r="O67" s="817"/>
      <c r="P67" s="817"/>
      <c r="Q67" s="817"/>
      <c r="R67" s="269"/>
      <c r="S67" s="269"/>
      <c r="T67" s="269"/>
      <c r="U67" s="269"/>
      <c r="V67" s="269"/>
      <c r="W67" s="269"/>
      <c r="X67" s="269"/>
      <c r="Y67" s="269"/>
      <c r="Z67" s="269"/>
      <c r="AA67" s="269"/>
      <c r="AB67" s="269"/>
      <c r="AC67" s="269"/>
      <c r="AD67" s="269"/>
    </row>
    <row r="68" spans="2:30" ht="12" customHeight="1">
      <c r="C68" s="12" t="s">
        <v>3018</v>
      </c>
      <c r="P68" s="279" t="s">
        <v>2912</v>
      </c>
      <c r="Q68" s="799" t="s">
        <v>2213</v>
      </c>
      <c r="R68" s="799"/>
      <c r="S68" s="799"/>
      <c r="T68" s="799"/>
      <c r="U68" s="799"/>
      <c r="V68" s="799"/>
      <c r="W68" s="799"/>
      <c r="X68" s="799"/>
      <c r="Y68" s="799"/>
      <c r="Z68" s="799"/>
      <c r="AA68" s="799"/>
      <c r="AB68" s="799"/>
      <c r="AC68" s="254" t="s">
        <v>2913</v>
      </c>
    </row>
    <row r="69" spans="2:30" ht="12" customHeight="1">
      <c r="E69" s="279" t="s">
        <v>3019</v>
      </c>
      <c r="F69" s="280" t="str">
        <f>cst_wskakunin_koutei01_KOUTEI_KAISUU</f>
        <v/>
      </c>
      <c r="G69" s="254" t="s">
        <v>3020</v>
      </c>
      <c r="J69" s="814" t="str">
        <f>cst_wskakunin_koutei01_KOUTEI_DATE</f>
        <v/>
      </c>
      <c r="K69" s="814"/>
      <c r="L69" s="814"/>
      <c r="M69" s="814"/>
      <c r="N69" s="814"/>
      <c r="P69" s="279" t="s">
        <v>2912</v>
      </c>
      <c r="Q69" s="791" t="str">
        <f>cst_wskakunin_koutei01_KOUTEI_TEXT</f>
        <v/>
      </c>
      <c r="R69" s="791"/>
      <c r="S69" s="791"/>
      <c r="T69" s="791"/>
      <c r="U69" s="791"/>
      <c r="V69" s="791"/>
      <c r="W69" s="791"/>
      <c r="X69" s="791"/>
      <c r="Y69" s="791"/>
      <c r="Z69" s="791"/>
      <c r="AA69" s="791"/>
      <c r="AB69" s="791"/>
      <c r="AC69" s="254" t="s">
        <v>2913</v>
      </c>
    </row>
    <row r="70" spans="2:30" ht="12" customHeight="1">
      <c r="E70" s="279" t="s">
        <v>3019</v>
      </c>
      <c r="F70" s="280" t="str">
        <f>cst_wskakunin_koutei02_KOUTEI_KAISUU</f>
        <v/>
      </c>
      <c r="G70" s="254" t="s">
        <v>3020</v>
      </c>
      <c r="J70" s="814" t="str">
        <f>cst_wskakunin_koutei02_KOUTEI_DATE</f>
        <v/>
      </c>
      <c r="K70" s="814"/>
      <c r="L70" s="814"/>
      <c r="M70" s="814"/>
      <c r="N70" s="814"/>
      <c r="P70" s="279" t="s">
        <v>2912</v>
      </c>
      <c r="Q70" s="791" t="str">
        <f>cst_wskakunin_koutei02_KOUTEI_TEXT</f>
        <v/>
      </c>
      <c r="R70" s="791"/>
      <c r="S70" s="791"/>
      <c r="T70" s="791"/>
      <c r="U70" s="791"/>
      <c r="V70" s="791"/>
      <c r="W70" s="791"/>
      <c r="X70" s="791"/>
      <c r="Y70" s="791"/>
      <c r="Z70" s="791"/>
      <c r="AA70" s="791"/>
      <c r="AB70" s="791"/>
      <c r="AC70" s="254" t="s">
        <v>2913</v>
      </c>
    </row>
    <row r="71" spans="2:30" ht="12" customHeight="1">
      <c r="B71" s="260"/>
      <c r="C71" s="260"/>
      <c r="D71" s="260"/>
      <c r="E71" s="278" t="s">
        <v>3019</v>
      </c>
      <c r="F71" s="281" t="str">
        <f>cst_wskakunin_koutei03_KOUTEI_KAISUU</f>
        <v/>
      </c>
      <c r="G71" s="260" t="s">
        <v>3020</v>
      </c>
      <c r="H71" s="260"/>
      <c r="I71" s="260"/>
      <c r="J71" s="815" t="str">
        <f>cst_wskakunin_koutei03_KOUTEI_DATE</f>
        <v/>
      </c>
      <c r="K71" s="815"/>
      <c r="L71" s="815"/>
      <c r="M71" s="815"/>
      <c r="N71" s="815"/>
      <c r="O71" s="260"/>
      <c r="P71" s="278" t="s">
        <v>2912</v>
      </c>
      <c r="Q71" s="816" t="str">
        <f>cst_wskakunin_koutei03_KOUTEI_TEXT</f>
        <v/>
      </c>
      <c r="R71" s="816"/>
      <c r="S71" s="816"/>
      <c r="T71" s="816"/>
      <c r="U71" s="816"/>
      <c r="V71" s="816"/>
      <c r="W71" s="816"/>
      <c r="X71" s="816"/>
      <c r="Y71" s="816"/>
      <c r="Z71" s="816"/>
      <c r="AA71" s="816"/>
      <c r="AB71" s="816"/>
      <c r="AC71" s="260" t="s">
        <v>2913</v>
      </c>
      <c r="AD71" s="260"/>
    </row>
    <row r="72" spans="2:30" ht="12" customHeight="1">
      <c r="C72" s="273" t="s">
        <v>3040</v>
      </c>
      <c r="I72" s="811" t="str">
        <f>cst_wskakunin_P3_SONOTA</f>
        <v/>
      </c>
      <c r="J72" s="811"/>
      <c r="K72" s="811"/>
      <c r="L72" s="811"/>
      <c r="M72" s="811"/>
      <c r="N72" s="811"/>
      <c r="O72" s="811"/>
      <c r="P72" s="811"/>
      <c r="Q72" s="811"/>
      <c r="R72" s="811"/>
      <c r="S72" s="811"/>
      <c r="T72" s="811"/>
      <c r="U72" s="811"/>
      <c r="V72" s="811"/>
      <c r="W72" s="811"/>
      <c r="X72" s="811"/>
      <c r="Y72" s="811"/>
      <c r="Z72" s="811"/>
      <c r="AA72" s="811"/>
      <c r="AB72" s="811"/>
      <c r="AC72" s="811"/>
      <c r="AD72" s="811"/>
    </row>
    <row r="73" spans="2:30" ht="11.1" customHeight="1">
      <c r="I73" s="811"/>
      <c r="J73" s="811"/>
      <c r="K73" s="811"/>
      <c r="L73" s="811"/>
      <c r="M73" s="811"/>
      <c r="N73" s="811"/>
      <c r="O73" s="811"/>
      <c r="P73" s="811"/>
      <c r="Q73" s="811"/>
      <c r="R73" s="811"/>
      <c r="S73" s="811"/>
      <c r="T73" s="811"/>
      <c r="U73" s="811"/>
      <c r="V73" s="811"/>
      <c r="W73" s="811"/>
      <c r="X73" s="811"/>
      <c r="Y73" s="811"/>
      <c r="Z73" s="811"/>
      <c r="AA73" s="811"/>
      <c r="AB73" s="811"/>
      <c r="AC73" s="811"/>
      <c r="AD73" s="811"/>
    </row>
    <row r="74" spans="2:30" ht="11.1" customHeight="1">
      <c r="B74" s="260"/>
      <c r="C74" s="260"/>
      <c r="D74" s="260"/>
      <c r="E74" s="260"/>
      <c r="F74" s="260"/>
      <c r="G74" s="260"/>
      <c r="H74" s="260"/>
      <c r="I74" s="819"/>
      <c r="J74" s="819"/>
      <c r="K74" s="819"/>
      <c r="L74" s="819"/>
      <c r="M74" s="819"/>
      <c r="N74" s="819"/>
      <c r="O74" s="819"/>
      <c r="P74" s="819"/>
      <c r="Q74" s="819"/>
      <c r="R74" s="819"/>
      <c r="S74" s="819"/>
      <c r="T74" s="819"/>
      <c r="U74" s="819"/>
      <c r="V74" s="819"/>
      <c r="W74" s="819"/>
      <c r="X74" s="819"/>
      <c r="Y74" s="819"/>
      <c r="Z74" s="819"/>
      <c r="AA74" s="819"/>
      <c r="AB74" s="819"/>
      <c r="AC74" s="819"/>
      <c r="AD74" s="819"/>
    </row>
    <row r="75" spans="2:30" ht="12" customHeight="1">
      <c r="C75" s="273" t="s">
        <v>3041</v>
      </c>
      <c r="I75" s="810" t="str">
        <f>cst_wskakunin_P3_BIKOU</f>
        <v/>
      </c>
      <c r="J75" s="810"/>
      <c r="K75" s="810"/>
      <c r="L75" s="810"/>
      <c r="M75" s="810"/>
      <c r="N75" s="810"/>
      <c r="O75" s="810"/>
      <c r="P75" s="810"/>
      <c r="Q75" s="810"/>
      <c r="R75" s="810"/>
      <c r="S75" s="810"/>
      <c r="T75" s="810"/>
      <c r="U75" s="810"/>
      <c r="V75" s="810"/>
      <c r="W75" s="810"/>
      <c r="X75" s="810"/>
      <c r="Y75" s="810"/>
      <c r="Z75" s="810"/>
      <c r="AA75" s="810"/>
      <c r="AB75" s="810"/>
      <c r="AC75" s="810"/>
      <c r="AD75" s="810"/>
    </row>
    <row r="76" spans="2:30" ht="11.1" customHeight="1">
      <c r="I76" s="811"/>
      <c r="J76" s="811"/>
      <c r="K76" s="811"/>
      <c r="L76" s="811"/>
      <c r="M76" s="811"/>
      <c r="N76" s="811"/>
      <c r="O76" s="811"/>
      <c r="P76" s="811"/>
      <c r="Q76" s="811"/>
      <c r="R76" s="811"/>
      <c r="S76" s="811"/>
      <c r="T76" s="811"/>
      <c r="U76" s="811"/>
      <c r="V76" s="811"/>
      <c r="W76" s="811"/>
      <c r="X76" s="811"/>
      <c r="Y76" s="811"/>
      <c r="Z76" s="811"/>
      <c r="AA76" s="811"/>
      <c r="AB76" s="811"/>
      <c r="AC76" s="811"/>
      <c r="AD76" s="811"/>
    </row>
    <row r="77" spans="2:30" ht="11.1" customHeight="1">
      <c r="I77" s="811"/>
      <c r="J77" s="811"/>
      <c r="K77" s="811"/>
      <c r="L77" s="811"/>
      <c r="M77" s="811"/>
      <c r="N77" s="811"/>
      <c r="O77" s="811"/>
      <c r="P77" s="811"/>
      <c r="Q77" s="811"/>
      <c r="R77" s="811"/>
      <c r="S77" s="811"/>
      <c r="T77" s="811"/>
      <c r="U77" s="811"/>
      <c r="V77" s="811"/>
      <c r="W77" s="811"/>
      <c r="X77" s="811"/>
      <c r="Y77" s="811"/>
      <c r="Z77" s="811"/>
      <c r="AA77" s="811"/>
      <c r="AB77" s="811"/>
      <c r="AC77" s="811"/>
      <c r="AD77" s="811"/>
    </row>
  </sheetData>
  <mergeCells count="111">
    <mergeCell ref="J70:N70"/>
    <mergeCell ref="Q70:AB70"/>
    <mergeCell ref="J71:N71"/>
    <mergeCell ref="Q71:AB71"/>
    <mergeCell ref="I72:AD74"/>
    <mergeCell ref="I75:AD77"/>
    <mergeCell ref="H65:AD65"/>
    <mergeCell ref="J66:Q66"/>
    <mergeCell ref="J67:Q67"/>
    <mergeCell ref="Q68:AB68"/>
    <mergeCell ref="J69:N69"/>
    <mergeCell ref="Q69:AB69"/>
    <mergeCell ref="J58:M58"/>
    <mergeCell ref="R58:U58"/>
    <mergeCell ref="J59:M59"/>
    <mergeCell ref="R59:V59"/>
    <mergeCell ref="H63:AD63"/>
    <mergeCell ref="H64:AD64"/>
    <mergeCell ref="M54:N54"/>
    <mergeCell ref="J55:N55"/>
    <mergeCell ref="R55:V55"/>
    <mergeCell ref="J56:M56"/>
    <mergeCell ref="R56:U56"/>
    <mergeCell ref="J57:M57"/>
    <mergeCell ref="R57:U57"/>
    <mergeCell ref="M49:O49"/>
    <mergeCell ref="S49:V49"/>
    <mergeCell ref="Z49:AB49"/>
    <mergeCell ref="M50:O50"/>
    <mergeCell ref="M51:O51"/>
    <mergeCell ref="M53:N53"/>
    <mergeCell ref="M47:O47"/>
    <mergeCell ref="S47:V47"/>
    <mergeCell ref="Z47:AB47"/>
    <mergeCell ref="M48:O48"/>
    <mergeCell ref="S48:V48"/>
    <mergeCell ref="Z48:AB48"/>
    <mergeCell ref="M45:O45"/>
    <mergeCell ref="S45:V45"/>
    <mergeCell ref="Z45:AB45"/>
    <mergeCell ref="M46:O46"/>
    <mergeCell ref="S46:V46"/>
    <mergeCell ref="Z46:AB46"/>
    <mergeCell ref="M43:O43"/>
    <mergeCell ref="S43:V43"/>
    <mergeCell ref="Z43:AB43"/>
    <mergeCell ref="M44:O44"/>
    <mergeCell ref="S44:V44"/>
    <mergeCell ref="Z44:AB44"/>
    <mergeCell ref="M41:O41"/>
    <mergeCell ref="S41:V41"/>
    <mergeCell ref="Z41:AB41"/>
    <mergeCell ref="M42:O42"/>
    <mergeCell ref="S42:V42"/>
    <mergeCell ref="Z42:AB42"/>
    <mergeCell ref="M39:O39"/>
    <mergeCell ref="S39:V39"/>
    <mergeCell ref="Z39:AB39"/>
    <mergeCell ref="M40:O40"/>
    <mergeCell ref="S40:V40"/>
    <mergeCell ref="Z40:AB40"/>
    <mergeCell ref="M35:O35"/>
    <mergeCell ref="M36:P36"/>
    <mergeCell ref="S36:W36"/>
    <mergeCell ref="Z36:AC36"/>
    <mergeCell ref="M37:O37"/>
    <mergeCell ref="S37:V37"/>
    <mergeCell ref="Z37:AB37"/>
    <mergeCell ref="M30:AD30"/>
    <mergeCell ref="M33:P33"/>
    <mergeCell ref="S33:W33"/>
    <mergeCell ref="Z33:AC33"/>
    <mergeCell ref="M34:O34"/>
    <mergeCell ref="S34:V34"/>
    <mergeCell ref="Z34:AB34"/>
    <mergeCell ref="Q25:S25"/>
    <mergeCell ref="T25:U25"/>
    <mergeCell ref="Q26:S26"/>
    <mergeCell ref="T26:U26"/>
    <mergeCell ref="H27:AD28"/>
    <mergeCell ref="F29:G29"/>
    <mergeCell ref="H29:K29"/>
    <mergeCell ref="M29:AD29"/>
    <mergeCell ref="I22:K22"/>
    <mergeCell ref="N22:P22"/>
    <mergeCell ref="S22:U22"/>
    <mergeCell ref="X22:Z22"/>
    <mergeCell ref="J23:L23"/>
    <mergeCell ref="J24:L24"/>
    <mergeCell ref="I20:K20"/>
    <mergeCell ref="N20:P20"/>
    <mergeCell ref="S20:U20"/>
    <mergeCell ref="X20:Z20"/>
    <mergeCell ref="I16:K16"/>
    <mergeCell ref="N16:P16"/>
    <mergeCell ref="S16:U16"/>
    <mergeCell ref="X16:Z16"/>
    <mergeCell ref="I17:K17"/>
    <mergeCell ref="N17:P17"/>
    <mergeCell ref="S17:U17"/>
    <mergeCell ref="X17:Z17"/>
    <mergeCell ref="C1:AD1"/>
    <mergeCell ref="G3:AD3"/>
    <mergeCell ref="G4:AD4"/>
    <mergeCell ref="G10:AD11"/>
    <mergeCell ref="M13:O13"/>
    <mergeCell ref="M14:O14"/>
    <mergeCell ref="I18:L18"/>
    <mergeCell ref="N18:Q18"/>
    <mergeCell ref="S18:V18"/>
    <mergeCell ref="X18:AA18"/>
  </mergeCells>
  <phoneticPr fontId="116"/>
  <printOptions horizontalCentered="1"/>
  <pageMargins left="0.59055118110236227" right="0.59055118110236227" top="0.39370078740157483" bottom="0.39370078740157483" header="0" footer="0.19685039370078741"/>
  <pageSetup paperSize="9" scale="94" fitToHeight="3"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AB122"/>
  <sheetViews>
    <sheetView zoomScaleNormal="100" zoomScaleSheetLayoutView="100" workbookViewId="0"/>
  </sheetViews>
  <sheetFormatPr defaultColWidth="9.125" defaultRowHeight="12"/>
  <cols>
    <col min="1" max="27" width="3.125" style="479" customWidth="1"/>
    <col min="28" max="28" width="1.75" style="479" customWidth="1"/>
    <col min="29" max="29" width="9" style="479" customWidth="1"/>
    <col min="30" max="30" width="10.25" style="479" bestFit="1" customWidth="1"/>
    <col min="31" max="31" width="14.125" style="479" bestFit="1" customWidth="1"/>
    <col min="32" max="256" width="9" style="479" customWidth="1"/>
    <col min="257" max="283" width="3.125" style="479" customWidth="1"/>
    <col min="284" max="284" width="1.75" style="479" customWidth="1"/>
    <col min="285" max="285" width="9" style="479" customWidth="1"/>
    <col min="286" max="286" width="10.25" style="479" bestFit="1" customWidth="1"/>
    <col min="287" max="287" width="14.125" style="479" bestFit="1" customWidth="1"/>
    <col min="288" max="512" width="9" style="479" customWidth="1"/>
    <col min="513" max="539" width="3.125" style="479" customWidth="1"/>
    <col min="540" max="540" width="1.75" style="479" customWidth="1"/>
    <col min="541" max="541" width="9" style="479" customWidth="1"/>
    <col min="542" max="542" width="10.25" style="479" bestFit="1" customWidth="1"/>
    <col min="543" max="543" width="14.125" style="479" bestFit="1" customWidth="1"/>
    <col min="544" max="768" width="9" style="479" customWidth="1"/>
    <col min="769" max="795" width="3.125" style="479" customWidth="1"/>
    <col min="796" max="796" width="1.75" style="479" customWidth="1"/>
    <col min="797" max="797" width="9" style="479" customWidth="1"/>
    <col min="798" max="798" width="10.25" style="479" bestFit="1" customWidth="1"/>
    <col min="799" max="799" width="14.125" style="479" bestFit="1" customWidth="1"/>
    <col min="800" max="1024" width="9" style="479" customWidth="1"/>
    <col min="1025" max="1051" width="3.125" style="479" customWidth="1"/>
    <col min="1052" max="1052" width="1.75" style="479" customWidth="1"/>
    <col min="1053" max="1053" width="9" style="479" customWidth="1"/>
    <col min="1054" max="1054" width="10.25" style="479" bestFit="1" customWidth="1"/>
    <col min="1055" max="1055" width="14.125" style="479" bestFit="1" customWidth="1"/>
    <col min="1056" max="1280" width="9" style="479" customWidth="1"/>
    <col min="1281" max="1307" width="3.125" style="479" customWidth="1"/>
    <col min="1308" max="1308" width="1.75" style="479" customWidth="1"/>
    <col min="1309" max="1309" width="9" style="479" customWidth="1"/>
    <col min="1310" max="1310" width="10.25" style="479" bestFit="1" customWidth="1"/>
    <col min="1311" max="1311" width="14.125" style="479" bestFit="1" customWidth="1"/>
    <col min="1312" max="1536" width="9" style="479" customWidth="1"/>
    <col min="1537" max="1563" width="3.125" style="479" customWidth="1"/>
    <col min="1564" max="1564" width="1.75" style="479" customWidth="1"/>
    <col min="1565" max="1565" width="9" style="479" customWidth="1"/>
    <col min="1566" max="1566" width="10.25" style="479" bestFit="1" customWidth="1"/>
    <col min="1567" max="1567" width="14.125" style="479" bestFit="1" customWidth="1"/>
    <col min="1568" max="1792" width="9" style="479" customWidth="1"/>
    <col min="1793" max="1819" width="3.125" style="479" customWidth="1"/>
    <col min="1820" max="1820" width="1.75" style="479" customWidth="1"/>
    <col min="1821" max="1821" width="9" style="479" customWidth="1"/>
    <col min="1822" max="1822" width="10.25" style="479" bestFit="1" customWidth="1"/>
    <col min="1823" max="1823" width="14.125" style="479" bestFit="1" customWidth="1"/>
    <col min="1824" max="2048" width="9" style="479" customWidth="1"/>
    <col min="2049" max="2075" width="3.125" style="479" customWidth="1"/>
    <col min="2076" max="2076" width="1.75" style="479" customWidth="1"/>
    <col min="2077" max="2077" width="9" style="479" customWidth="1"/>
    <col min="2078" max="2078" width="10.25" style="479" bestFit="1" customWidth="1"/>
    <col min="2079" max="2079" width="14.125" style="479" bestFit="1" customWidth="1"/>
    <col min="2080" max="2304" width="9" style="479" customWidth="1"/>
    <col min="2305" max="2331" width="3.125" style="479" customWidth="1"/>
    <col min="2332" max="2332" width="1.75" style="479" customWidth="1"/>
    <col min="2333" max="2333" width="9" style="479" customWidth="1"/>
    <col min="2334" max="2334" width="10.25" style="479" bestFit="1" customWidth="1"/>
    <col min="2335" max="2335" width="14.125" style="479" bestFit="1" customWidth="1"/>
    <col min="2336" max="2560" width="9" style="479" customWidth="1"/>
    <col min="2561" max="2587" width="3.125" style="479" customWidth="1"/>
    <col min="2588" max="2588" width="1.75" style="479" customWidth="1"/>
    <col min="2589" max="2589" width="9" style="479" customWidth="1"/>
    <col min="2590" max="2590" width="10.25" style="479" bestFit="1" customWidth="1"/>
    <col min="2591" max="2591" width="14.125" style="479" bestFit="1" customWidth="1"/>
    <col min="2592" max="2816" width="9" style="479" customWidth="1"/>
    <col min="2817" max="2843" width="3.125" style="479" customWidth="1"/>
    <col min="2844" max="2844" width="1.75" style="479" customWidth="1"/>
    <col min="2845" max="2845" width="9" style="479" customWidth="1"/>
    <col min="2846" max="2846" width="10.25" style="479" bestFit="1" customWidth="1"/>
    <col min="2847" max="2847" width="14.125" style="479" bestFit="1" customWidth="1"/>
    <col min="2848" max="3072" width="9" style="479" customWidth="1"/>
    <col min="3073" max="3099" width="3.125" style="479" customWidth="1"/>
    <col min="3100" max="3100" width="1.75" style="479" customWidth="1"/>
    <col min="3101" max="3101" width="9" style="479" customWidth="1"/>
    <col min="3102" max="3102" width="10.25" style="479" bestFit="1" customWidth="1"/>
    <col min="3103" max="3103" width="14.125" style="479" bestFit="1" customWidth="1"/>
    <col min="3104" max="3328" width="9" style="479" customWidth="1"/>
    <col min="3329" max="3355" width="3.125" style="479" customWidth="1"/>
    <col min="3356" max="3356" width="1.75" style="479" customWidth="1"/>
    <col min="3357" max="3357" width="9" style="479" customWidth="1"/>
    <col min="3358" max="3358" width="10.25" style="479" bestFit="1" customWidth="1"/>
    <col min="3359" max="3359" width="14.125" style="479" bestFit="1" customWidth="1"/>
    <col min="3360" max="3584" width="9" style="479" customWidth="1"/>
    <col min="3585" max="3611" width="3.125" style="479" customWidth="1"/>
    <col min="3612" max="3612" width="1.75" style="479" customWidth="1"/>
    <col min="3613" max="3613" width="9" style="479" customWidth="1"/>
    <col min="3614" max="3614" width="10.25" style="479" bestFit="1" customWidth="1"/>
    <col min="3615" max="3615" width="14.125" style="479" bestFit="1" customWidth="1"/>
    <col min="3616" max="3840" width="9" style="479" customWidth="1"/>
    <col min="3841" max="3867" width="3.125" style="479" customWidth="1"/>
    <col min="3868" max="3868" width="1.75" style="479" customWidth="1"/>
    <col min="3869" max="3869" width="9" style="479" customWidth="1"/>
    <col min="3870" max="3870" width="10.25" style="479" bestFit="1" customWidth="1"/>
    <col min="3871" max="3871" width="14.125" style="479" bestFit="1" customWidth="1"/>
    <col min="3872" max="4096" width="9" style="479" customWidth="1"/>
    <col min="4097" max="4123" width="3.125" style="479" customWidth="1"/>
    <col min="4124" max="4124" width="1.75" style="479" customWidth="1"/>
    <col min="4125" max="4125" width="9" style="479" customWidth="1"/>
    <col min="4126" max="4126" width="10.25" style="479" bestFit="1" customWidth="1"/>
    <col min="4127" max="4127" width="14.125" style="479" bestFit="1" customWidth="1"/>
    <col min="4128" max="4352" width="9" style="479" customWidth="1"/>
    <col min="4353" max="4379" width="3.125" style="479" customWidth="1"/>
    <col min="4380" max="4380" width="1.75" style="479" customWidth="1"/>
    <col min="4381" max="4381" width="9" style="479" customWidth="1"/>
    <col min="4382" max="4382" width="10.25" style="479" bestFit="1" customWidth="1"/>
    <col min="4383" max="4383" width="14.125" style="479" bestFit="1" customWidth="1"/>
    <col min="4384" max="4608" width="9" style="479" customWidth="1"/>
    <col min="4609" max="4635" width="3.125" style="479" customWidth="1"/>
    <col min="4636" max="4636" width="1.75" style="479" customWidth="1"/>
    <col min="4637" max="4637" width="9" style="479" customWidth="1"/>
    <col min="4638" max="4638" width="10.25" style="479" bestFit="1" customWidth="1"/>
    <col min="4639" max="4639" width="14.125" style="479" bestFit="1" customWidth="1"/>
    <col min="4640" max="4864" width="9" style="479" customWidth="1"/>
    <col min="4865" max="4891" width="3.125" style="479" customWidth="1"/>
    <col min="4892" max="4892" width="1.75" style="479" customWidth="1"/>
    <col min="4893" max="4893" width="9" style="479" customWidth="1"/>
    <col min="4894" max="4894" width="10.25" style="479" bestFit="1" customWidth="1"/>
    <col min="4895" max="4895" width="14.125" style="479" bestFit="1" customWidth="1"/>
    <col min="4896" max="5120" width="9" style="479" customWidth="1"/>
    <col min="5121" max="5147" width="3.125" style="479" customWidth="1"/>
    <col min="5148" max="5148" width="1.75" style="479" customWidth="1"/>
    <col min="5149" max="5149" width="9" style="479" customWidth="1"/>
    <col min="5150" max="5150" width="10.25" style="479" bestFit="1" customWidth="1"/>
    <col min="5151" max="5151" width="14.125" style="479" bestFit="1" customWidth="1"/>
    <col min="5152" max="5376" width="9" style="479" customWidth="1"/>
    <col min="5377" max="5403" width="3.125" style="479" customWidth="1"/>
    <col min="5404" max="5404" width="1.75" style="479" customWidth="1"/>
    <col min="5405" max="5405" width="9" style="479" customWidth="1"/>
    <col min="5406" max="5406" width="10.25" style="479" bestFit="1" customWidth="1"/>
    <col min="5407" max="5407" width="14.125" style="479" bestFit="1" customWidth="1"/>
    <col min="5408" max="5632" width="9" style="479" customWidth="1"/>
    <col min="5633" max="5659" width="3.125" style="479" customWidth="1"/>
    <col min="5660" max="5660" width="1.75" style="479" customWidth="1"/>
    <col min="5661" max="5661" width="9" style="479" customWidth="1"/>
    <col min="5662" max="5662" width="10.25" style="479" bestFit="1" customWidth="1"/>
    <col min="5663" max="5663" width="14.125" style="479" bestFit="1" customWidth="1"/>
    <col min="5664" max="5888" width="9" style="479" customWidth="1"/>
    <col min="5889" max="5915" width="3.125" style="479" customWidth="1"/>
    <col min="5916" max="5916" width="1.75" style="479" customWidth="1"/>
    <col min="5917" max="5917" width="9" style="479" customWidth="1"/>
    <col min="5918" max="5918" width="10.25" style="479" bestFit="1" customWidth="1"/>
    <col min="5919" max="5919" width="14.125" style="479" bestFit="1" customWidth="1"/>
    <col min="5920" max="6144" width="9" style="479" customWidth="1"/>
    <col min="6145" max="6171" width="3.125" style="479" customWidth="1"/>
    <col min="6172" max="6172" width="1.75" style="479" customWidth="1"/>
    <col min="6173" max="6173" width="9" style="479" customWidth="1"/>
    <col min="6174" max="6174" width="10.25" style="479" bestFit="1" customWidth="1"/>
    <col min="6175" max="6175" width="14.125" style="479" bestFit="1" customWidth="1"/>
    <col min="6176" max="6400" width="9" style="479" customWidth="1"/>
    <col min="6401" max="6427" width="3.125" style="479" customWidth="1"/>
    <col min="6428" max="6428" width="1.75" style="479" customWidth="1"/>
    <col min="6429" max="6429" width="9" style="479" customWidth="1"/>
    <col min="6430" max="6430" width="10.25" style="479" bestFit="1" customWidth="1"/>
    <col min="6431" max="6431" width="14.125" style="479" bestFit="1" customWidth="1"/>
    <col min="6432" max="6656" width="9" style="479" customWidth="1"/>
    <col min="6657" max="6683" width="3.125" style="479" customWidth="1"/>
    <col min="6684" max="6684" width="1.75" style="479" customWidth="1"/>
    <col min="6685" max="6685" width="9" style="479" customWidth="1"/>
    <col min="6686" max="6686" width="10.25" style="479" bestFit="1" customWidth="1"/>
    <col min="6687" max="6687" width="14.125" style="479" bestFit="1" customWidth="1"/>
    <col min="6688" max="6912" width="9" style="479" customWidth="1"/>
    <col min="6913" max="6939" width="3.125" style="479" customWidth="1"/>
    <col min="6940" max="6940" width="1.75" style="479" customWidth="1"/>
    <col min="6941" max="6941" width="9" style="479" customWidth="1"/>
    <col min="6942" max="6942" width="10.25" style="479" bestFit="1" customWidth="1"/>
    <col min="6943" max="6943" width="14.125" style="479" bestFit="1" customWidth="1"/>
    <col min="6944" max="7168" width="9" style="479" customWidth="1"/>
    <col min="7169" max="7195" width="3.125" style="479" customWidth="1"/>
    <col min="7196" max="7196" width="1.75" style="479" customWidth="1"/>
    <col min="7197" max="7197" width="9" style="479" customWidth="1"/>
    <col min="7198" max="7198" width="10.25" style="479" bestFit="1" customWidth="1"/>
    <col min="7199" max="7199" width="14.125" style="479" bestFit="1" customWidth="1"/>
    <col min="7200" max="7424" width="9" style="479" customWidth="1"/>
    <col min="7425" max="7451" width="3.125" style="479" customWidth="1"/>
    <col min="7452" max="7452" width="1.75" style="479" customWidth="1"/>
    <col min="7453" max="7453" width="9" style="479" customWidth="1"/>
    <col min="7454" max="7454" width="10.25" style="479" bestFit="1" customWidth="1"/>
    <col min="7455" max="7455" width="14.125" style="479" bestFit="1" customWidth="1"/>
    <col min="7456" max="7680" width="9" style="479" customWidth="1"/>
    <col min="7681" max="7707" width="3.125" style="479" customWidth="1"/>
    <col min="7708" max="7708" width="1.75" style="479" customWidth="1"/>
    <col min="7709" max="7709" width="9" style="479" customWidth="1"/>
    <col min="7710" max="7710" width="10.25" style="479" bestFit="1" customWidth="1"/>
    <col min="7711" max="7711" width="14.125" style="479" bestFit="1" customWidth="1"/>
    <col min="7712" max="7936" width="9" style="479" customWidth="1"/>
    <col min="7937" max="7963" width="3.125" style="479" customWidth="1"/>
    <col min="7964" max="7964" width="1.75" style="479" customWidth="1"/>
    <col min="7965" max="7965" width="9" style="479" customWidth="1"/>
    <col min="7966" max="7966" width="10.25" style="479" bestFit="1" customWidth="1"/>
    <col min="7967" max="7967" width="14.125" style="479" bestFit="1" customWidth="1"/>
    <col min="7968" max="8192" width="9" style="479" customWidth="1"/>
    <col min="8193" max="8219" width="3.125" style="479" customWidth="1"/>
    <col min="8220" max="8220" width="1.75" style="479" customWidth="1"/>
    <col min="8221" max="8221" width="9" style="479" customWidth="1"/>
    <col min="8222" max="8222" width="10.25" style="479" bestFit="1" customWidth="1"/>
    <col min="8223" max="8223" width="14.125" style="479" bestFit="1" customWidth="1"/>
    <col min="8224" max="8448" width="9" style="479" customWidth="1"/>
    <col min="8449" max="8475" width="3.125" style="479" customWidth="1"/>
    <col min="8476" max="8476" width="1.75" style="479" customWidth="1"/>
    <col min="8477" max="8477" width="9" style="479" customWidth="1"/>
    <col min="8478" max="8478" width="10.25" style="479" bestFit="1" customWidth="1"/>
    <col min="8479" max="8479" width="14.125" style="479" bestFit="1" customWidth="1"/>
    <col min="8480" max="8704" width="9" style="479" customWidth="1"/>
    <col min="8705" max="8731" width="3.125" style="479" customWidth="1"/>
    <col min="8732" max="8732" width="1.75" style="479" customWidth="1"/>
    <col min="8733" max="8733" width="9" style="479" customWidth="1"/>
    <col min="8734" max="8734" width="10.25" style="479" bestFit="1" customWidth="1"/>
    <col min="8735" max="8735" width="14.125" style="479" bestFit="1" customWidth="1"/>
    <col min="8736" max="8960" width="9" style="479" customWidth="1"/>
    <col min="8961" max="8987" width="3.125" style="479" customWidth="1"/>
    <col min="8988" max="8988" width="1.75" style="479" customWidth="1"/>
    <col min="8989" max="8989" width="9" style="479" customWidth="1"/>
    <col min="8990" max="8990" width="10.25" style="479" bestFit="1" customWidth="1"/>
    <col min="8991" max="8991" width="14.125" style="479" bestFit="1" customWidth="1"/>
    <col min="8992" max="9216" width="9" style="479" customWidth="1"/>
    <col min="9217" max="9243" width="3.125" style="479" customWidth="1"/>
    <col min="9244" max="9244" width="1.75" style="479" customWidth="1"/>
    <col min="9245" max="9245" width="9" style="479" customWidth="1"/>
    <col min="9246" max="9246" width="10.25" style="479" bestFit="1" customWidth="1"/>
    <col min="9247" max="9247" width="14.125" style="479" bestFit="1" customWidth="1"/>
    <col min="9248" max="9472" width="9" style="479" customWidth="1"/>
    <col min="9473" max="9499" width="3.125" style="479" customWidth="1"/>
    <col min="9500" max="9500" width="1.75" style="479" customWidth="1"/>
    <col min="9501" max="9501" width="9" style="479" customWidth="1"/>
    <col min="9502" max="9502" width="10.25" style="479" bestFit="1" customWidth="1"/>
    <col min="9503" max="9503" width="14.125" style="479" bestFit="1" customWidth="1"/>
    <col min="9504" max="9728" width="9" style="479" customWidth="1"/>
    <col min="9729" max="9755" width="3.125" style="479" customWidth="1"/>
    <col min="9756" max="9756" width="1.75" style="479" customWidth="1"/>
    <col min="9757" max="9757" width="9" style="479" customWidth="1"/>
    <col min="9758" max="9758" width="10.25" style="479" bestFit="1" customWidth="1"/>
    <col min="9759" max="9759" width="14.125" style="479" bestFit="1" customWidth="1"/>
    <col min="9760" max="9984" width="9" style="479" customWidth="1"/>
    <col min="9985" max="10011" width="3.125" style="479" customWidth="1"/>
    <col min="10012" max="10012" width="1.75" style="479" customWidth="1"/>
    <col min="10013" max="10013" width="9" style="479" customWidth="1"/>
    <col min="10014" max="10014" width="10.25" style="479" bestFit="1" customWidth="1"/>
    <col min="10015" max="10015" width="14.125" style="479" bestFit="1" customWidth="1"/>
    <col min="10016" max="10240" width="9" style="479" customWidth="1"/>
    <col min="10241" max="10267" width="3.125" style="479" customWidth="1"/>
    <col min="10268" max="10268" width="1.75" style="479" customWidth="1"/>
    <col min="10269" max="10269" width="9" style="479" customWidth="1"/>
    <col min="10270" max="10270" width="10.25" style="479" bestFit="1" customWidth="1"/>
    <col min="10271" max="10271" width="14.125" style="479" bestFit="1" customWidth="1"/>
    <col min="10272" max="10496" width="9" style="479" customWidth="1"/>
    <col min="10497" max="10523" width="3.125" style="479" customWidth="1"/>
    <col min="10524" max="10524" width="1.75" style="479" customWidth="1"/>
    <col min="10525" max="10525" width="9" style="479" customWidth="1"/>
    <col min="10526" max="10526" width="10.25" style="479" bestFit="1" customWidth="1"/>
    <col min="10527" max="10527" width="14.125" style="479" bestFit="1" customWidth="1"/>
    <col min="10528" max="10752" width="9" style="479" customWidth="1"/>
    <col min="10753" max="10779" width="3.125" style="479" customWidth="1"/>
    <col min="10780" max="10780" width="1.75" style="479" customWidth="1"/>
    <col min="10781" max="10781" width="9" style="479" customWidth="1"/>
    <col min="10782" max="10782" width="10.25" style="479" bestFit="1" customWidth="1"/>
    <col min="10783" max="10783" width="14.125" style="479" bestFit="1" customWidth="1"/>
    <col min="10784" max="11008" width="9" style="479" customWidth="1"/>
    <col min="11009" max="11035" width="3.125" style="479" customWidth="1"/>
    <col min="11036" max="11036" width="1.75" style="479" customWidth="1"/>
    <col min="11037" max="11037" width="9" style="479" customWidth="1"/>
    <col min="11038" max="11038" width="10.25" style="479" bestFit="1" customWidth="1"/>
    <col min="11039" max="11039" width="14.125" style="479" bestFit="1" customWidth="1"/>
    <col min="11040" max="11264" width="9" style="479" customWidth="1"/>
    <col min="11265" max="11291" width="3.125" style="479" customWidth="1"/>
    <col min="11292" max="11292" width="1.75" style="479" customWidth="1"/>
    <col min="11293" max="11293" width="9" style="479" customWidth="1"/>
    <col min="11294" max="11294" width="10.25" style="479" bestFit="1" customWidth="1"/>
    <col min="11295" max="11295" width="14.125" style="479" bestFit="1" customWidth="1"/>
    <col min="11296" max="11520" width="9" style="479" customWidth="1"/>
    <col min="11521" max="11547" width="3.125" style="479" customWidth="1"/>
    <col min="11548" max="11548" width="1.75" style="479" customWidth="1"/>
    <col min="11549" max="11549" width="9" style="479" customWidth="1"/>
    <col min="11550" max="11550" width="10.25" style="479" bestFit="1" customWidth="1"/>
    <col min="11551" max="11551" width="14.125" style="479" bestFit="1" customWidth="1"/>
    <col min="11552" max="11776" width="9" style="479" customWidth="1"/>
    <col min="11777" max="11803" width="3.125" style="479" customWidth="1"/>
    <col min="11804" max="11804" width="1.75" style="479" customWidth="1"/>
    <col min="11805" max="11805" width="9" style="479" customWidth="1"/>
    <col min="11806" max="11806" width="10.25" style="479" bestFit="1" customWidth="1"/>
    <col min="11807" max="11807" width="14.125" style="479" bestFit="1" customWidth="1"/>
    <col min="11808" max="12032" width="9" style="479" customWidth="1"/>
    <col min="12033" max="12059" width="3.125" style="479" customWidth="1"/>
    <col min="12060" max="12060" width="1.75" style="479" customWidth="1"/>
    <col min="12061" max="12061" width="9" style="479" customWidth="1"/>
    <col min="12062" max="12062" width="10.25" style="479" bestFit="1" customWidth="1"/>
    <col min="12063" max="12063" width="14.125" style="479" bestFit="1" customWidth="1"/>
    <col min="12064" max="12288" width="9" style="479" customWidth="1"/>
    <col min="12289" max="12315" width="3.125" style="479" customWidth="1"/>
    <col min="12316" max="12316" width="1.75" style="479" customWidth="1"/>
    <col min="12317" max="12317" width="9" style="479" customWidth="1"/>
    <col min="12318" max="12318" width="10.25" style="479" bestFit="1" customWidth="1"/>
    <col min="12319" max="12319" width="14.125" style="479" bestFit="1" customWidth="1"/>
    <col min="12320" max="12544" width="9" style="479" customWidth="1"/>
    <col min="12545" max="12571" width="3.125" style="479" customWidth="1"/>
    <col min="12572" max="12572" width="1.75" style="479" customWidth="1"/>
    <col min="12573" max="12573" width="9" style="479" customWidth="1"/>
    <col min="12574" max="12574" width="10.25" style="479" bestFit="1" customWidth="1"/>
    <col min="12575" max="12575" width="14.125" style="479" bestFit="1" customWidth="1"/>
    <col min="12576" max="12800" width="9" style="479" customWidth="1"/>
    <col min="12801" max="12827" width="3.125" style="479" customWidth="1"/>
    <col min="12828" max="12828" width="1.75" style="479" customWidth="1"/>
    <col min="12829" max="12829" width="9" style="479" customWidth="1"/>
    <col min="12830" max="12830" width="10.25" style="479" bestFit="1" customWidth="1"/>
    <col min="12831" max="12831" width="14.125" style="479" bestFit="1" customWidth="1"/>
    <col min="12832" max="13056" width="9" style="479" customWidth="1"/>
    <col min="13057" max="13083" width="3.125" style="479" customWidth="1"/>
    <col min="13084" max="13084" width="1.75" style="479" customWidth="1"/>
    <col min="13085" max="13085" width="9" style="479" customWidth="1"/>
    <col min="13086" max="13086" width="10.25" style="479" bestFit="1" customWidth="1"/>
    <col min="13087" max="13087" width="14.125" style="479" bestFit="1" customWidth="1"/>
    <col min="13088" max="13312" width="9" style="479" customWidth="1"/>
    <col min="13313" max="13339" width="3.125" style="479" customWidth="1"/>
    <col min="13340" max="13340" width="1.75" style="479" customWidth="1"/>
    <col min="13341" max="13341" width="9" style="479" customWidth="1"/>
    <col min="13342" max="13342" width="10.25" style="479" bestFit="1" customWidth="1"/>
    <col min="13343" max="13343" width="14.125" style="479" bestFit="1" customWidth="1"/>
    <col min="13344" max="13568" width="9" style="479" customWidth="1"/>
    <col min="13569" max="13595" width="3.125" style="479" customWidth="1"/>
    <col min="13596" max="13596" width="1.75" style="479" customWidth="1"/>
    <col min="13597" max="13597" width="9" style="479" customWidth="1"/>
    <col min="13598" max="13598" width="10.25" style="479" bestFit="1" customWidth="1"/>
    <col min="13599" max="13599" width="14.125" style="479" bestFit="1" customWidth="1"/>
    <col min="13600" max="13824" width="9" style="479" customWidth="1"/>
    <col min="13825" max="13851" width="3.125" style="479" customWidth="1"/>
    <col min="13852" max="13852" width="1.75" style="479" customWidth="1"/>
    <col min="13853" max="13853" width="9" style="479" customWidth="1"/>
    <col min="13854" max="13854" width="10.25" style="479" bestFit="1" customWidth="1"/>
    <col min="13855" max="13855" width="14.125" style="479" bestFit="1" customWidth="1"/>
    <col min="13856" max="14080" width="9" style="479" customWidth="1"/>
    <col min="14081" max="14107" width="3.125" style="479" customWidth="1"/>
    <col min="14108" max="14108" width="1.75" style="479" customWidth="1"/>
    <col min="14109" max="14109" width="9" style="479" customWidth="1"/>
    <col min="14110" max="14110" width="10.25" style="479" bestFit="1" customWidth="1"/>
    <col min="14111" max="14111" width="14.125" style="479" bestFit="1" customWidth="1"/>
    <col min="14112" max="14336" width="9" style="479" customWidth="1"/>
    <col min="14337" max="14363" width="3.125" style="479" customWidth="1"/>
    <col min="14364" max="14364" width="1.75" style="479" customWidth="1"/>
    <col min="14365" max="14365" width="9" style="479" customWidth="1"/>
    <col min="14366" max="14366" width="10.25" style="479" bestFit="1" customWidth="1"/>
    <col min="14367" max="14367" width="14.125" style="479" bestFit="1" customWidth="1"/>
    <col min="14368" max="14592" width="9" style="479" customWidth="1"/>
    <col min="14593" max="14619" width="3.125" style="479" customWidth="1"/>
    <col min="14620" max="14620" width="1.75" style="479" customWidth="1"/>
    <col min="14621" max="14621" width="9" style="479" customWidth="1"/>
    <col min="14622" max="14622" width="10.25" style="479" bestFit="1" customWidth="1"/>
    <col min="14623" max="14623" width="14.125" style="479" bestFit="1" customWidth="1"/>
    <col min="14624" max="14848" width="9" style="479" customWidth="1"/>
    <col min="14849" max="14875" width="3.125" style="479" customWidth="1"/>
    <col min="14876" max="14876" width="1.75" style="479" customWidth="1"/>
    <col min="14877" max="14877" width="9" style="479" customWidth="1"/>
    <col min="14878" max="14878" width="10.25" style="479" bestFit="1" customWidth="1"/>
    <col min="14879" max="14879" width="14.125" style="479" bestFit="1" customWidth="1"/>
    <col min="14880" max="15104" width="9" style="479" customWidth="1"/>
    <col min="15105" max="15131" width="3.125" style="479" customWidth="1"/>
    <col min="15132" max="15132" width="1.75" style="479" customWidth="1"/>
    <col min="15133" max="15133" width="9" style="479" customWidth="1"/>
    <col min="15134" max="15134" width="10.25" style="479" bestFit="1" customWidth="1"/>
    <col min="15135" max="15135" width="14.125" style="479" bestFit="1" customWidth="1"/>
    <col min="15136" max="15360" width="9" style="479" customWidth="1"/>
    <col min="15361" max="15387" width="3.125" style="479" customWidth="1"/>
    <col min="15388" max="15388" width="1.75" style="479" customWidth="1"/>
    <col min="15389" max="15389" width="9" style="479" customWidth="1"/>
    <col min="15390" max="15390" width="10.25" style="479" bestFit="1" customWidth="1"/>
    <col min="15391" max="15391" width="14.125" style="479" bestFit="1" customWidth="1"/>
    <col min="15392" max="15616" width="9" style="479" customWidth="1"/>
    <col min="15617" max="15643" width="3.125" style="479" customWidth="1"/>
    <col min="15644" max="15644" width="1.75" style="479" customWidth="1"/>
    <col min="15645" max="15645" width="9" style="479" customWidth="1"/>
    <col min="15646" max="15646" width="10.25" style="479" bestFit="1" customWidth="1"/>
    <col min="15647" max="15647" width="14.125" style="479" bestFit="1" customWidth="1"/>
    <col min="15648" max="15872" width="9" style="479" customWidth="1"/>
    <col min="15873" max="15899" width="3.125" style="479" customWidth="1"/>
    <col min="15900" max="15900" width="1.75" style="479" customWidth="1"/>
    <col min="15901" max="15901" width="9" style="479" customWidth="1"/>
    <col min="15902" max="15902" width="10.25" style="479" bestFit="1" customWidth="1"/>
    <col min="15903" max="15903" width="14.125" style="479" bestFit="1" customWidth="1"/>
    <col min="15904" max="16128" width="9" style="479" customWidth="1"/>
    <col min="16129" max="16155" width="3.125" style="479" customWidth="1"/>
    <col min="16156" max="16156" width="1.75" style="479" customWidth="1"/>
    <col min="16157" max="16157" width="9" style="479" customWidth="1"/>
    <col min="16158" max="16158" width="10.25" style="479" bestFit="1" customWidth="1"/>
    <col min="16159" max="16159" width="14.125" style="479" bestFit="1" customWidth="1"/>
    <col min="16160" max="16384" width="9" style="479" customWidth="1"/>
  </cols>
  <sheetData>
    <row r="1" spans="1:27" ht="6" customHeight="1"/>
    <row r="2" spans="1:27">
      <c r="A2" s="479" t="s">
        <v>3042</v>
      </c>
    </row>
    <row r="4" spans="1:27">
      <c r="A4" s="861" t="s">
        <v>3043</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row>
    <row r="5" spans="1:27" ht="30.75" customHeight="1">
      <c r="A5" s="862" t="s">
        <v>3044</v>
      </c>
      <c r="B5" s="862"/>
      <c r="C5" s="862"/>
      <c r="D5" s="862"/>
      <c r="E5" s="862"/>
      <c r="F5" s="862"/>
      <c r="G5" s="862"/>
      <c r="H5" s="862"/>
      <c r="I5" s="862"/>
      <c r="J5" s="862"/>
      <c r="K5" s="862"/>
      <c r="L5" s="862"/>
      <c r="M5" s="862"/>
      <c r="N5" s="862"/>
      <c r="O5" s="862"/>
      <c r="P5" s="862"/>
      <c r="Q5" s="862"/>
      <c r="R5" s="862"/>
      <c r="S5" s="863"/>
      <c r="T5" s="863"/>
      <c r="U5" s="863"/>
      <c r="V5" s="863"/>
      <c r="W5" s="863"/>
      <c r="X5" s="863"/>
      <c r="Y5" s="863"/>
      <c r="Z5" s="863"/>
      <c r="AA5" s="863"/>
    </row>
    <row r="6" spans="1:27">
      <c r="A6" s="861" t="s">
        <v>3045</v>
      </c>
      <c r="B6" s="861"/>
      <c r="C6" s="861"/>
      <c r="D6" s="861"/>
      <c r="E6" s="861"/>
      <c r="F6" s="861"/>
      <c r="G6" s="861"/>
      <c r="H6" s="861"/>
      <c r="I6" s="861"/>
      <c r="J6" s="861"/>
      <c r="K6" s="861"/>
      <c r="L6" s="861"/>
      <c r="M6" s="861"/>
      <c r="N6" s="861"/>
      <c r="O6" s="861"/>
      <c r="P6" s="861"/>
      <c r="Q6" s="861"/>
      <c r="R6" s="861"/>
      <c r="S6" s="864"/>
      <c r="T6" s="864"/>
      <c r="U6" s="864"/>
      <c r="V6" s="864"/>
      <c r="W6" s="864"/>
      <c r="X6" s="864"/>
      <c r="Y6" s="864"/>
      <c r="Z6" s="864"/>
      <c r="AA6" s="864"/>
    </row>
    <row r="8" spans="1:27" ht="18.75" customHeight="1">
      <c r="S8" s="849" t="str">
        <f ca="1">IF(wskakunin_SHINSEI_DATE="",TEXT(TODAY(),"ggg"),wskakunin_SHINSEI_DATE)</f>
        <v>令和</v>
      </c>
      <c r="T8" s="849"/>
      <c r="U8" s="480" t="str">
        <f>cst_wskakunin_SHINSEI_DATE</f>
        <v/>
      </c>
      <c r="V8" s="479" t="s">
        <v>3046</v>
      </c>
      <c r="W8" s="481" t="str">
        <f>cst_wskakunin_SHINSEI_DATE</f>
        <v/>
      </c>
      <c r="X8" s="479" t="s">
        <v>3047</v>
      </c>
      <c r="Y8" s="482" t="str">
        <f>cst_wskakunin_SHINSEI_DATE</f>
        <v/>
      </c>
      <c r="Z8" s="479" t="s">
        <v>3048</v>
      </c>
    </row>
    <row r="9" spans="1:27" ht="15.75" customHeight="1"/>
    <row r="10" spans="1:27" ht="18" customHeight="1">
      <c r="A10" s="483"/>
      <c r="B10" s="865" t="s">
        <v>3049</v>
      </c>
      <c r="C10" s="866"/>
      <c r="D10" s="866"/>
      <c r="E10" s="866"/>
      <c r="F10" s="483" t="s">
        <v>3050</v>
      </c>
      <c r="G10" s="483"/>
      <c r="H10" s="483"/>
      <c r="I10" s="483"/>
      <c r="J10" s="483"/>
      <c r="K10" s="483"/>
      <c r="L10" s="483"/>
      <c r="M10" s="483"/>
      <c r="N10" s="483"/>
      <c r="O10" s="483"/>
      <c r="P10" s="483"/>
      <c r="Q10" s="483"/>
      <c r="R10" s="483"/>
      <c r="S10" s="483"/>
      <c r="T10" s="483"/>
      <c r="U10" s="483"/>
      <c r="V10" s="483"/>
      <c r="W10" s="483"/>
      <c r="X10" s="483"/>
      <c r="Y10" s="483"/>
      <c r="Z10" s="483"/>
      <c r="AA10" s="483"/>
    </row>
    <row r="11" spans="1:27" ht="18" customHeight="1">
      <c r="A11" s="479" t="s">
        <v>234</v>
      </c>
    </row>
    <row r="12" spans="1:27" ht="18" customHeight="1">
      <c r="B12" s="864" t="s">
        <v>247</v>
      </c>
      <c r="C12" s="864"/>
      <c r="D12" s="864"/>
      <c r="E12" s="867" t="str">
        <f>cst_wskakunin_owner1__space3</f>
        <v/>
      </c>
      <c r="F12" s="867"/>
      <c r="G12" s="867"/>
      <c r="H12" s="867"/>
      <c r="I12" s="867"/>
      <c r="J12" s="867"/>
      <c r="K12" s="867"/>
      <c r="L12" s="867"/>
      <c r="M12" s="867"/>
      <c r="N12" s="867"/>
      <c r="O12" s="867"/>
      <c r="P12" s="867"/>
      <c r="Q12" s="867"/>
      <c r="R12" s="867"/>
      <c r="S12" s="867"/>
      <c r="T12" s="867"/>
      <c r="U12" s="867"/>
      <c r="V12" s="867"/>
      <c r="W12" s="867"/>
      <c r="X12" s="867"/>
      <c r="Y12" s="867"/>
      <c r="Z12" s="864"/>
    </row>
    <row r="13" spans="1:27" ht="18" customHeight="1">
      <c r="B13" s="864"/>
      <c r="C13" s="864"/>
      <c r="D13" s="864"/>
      <c r="E13" s="867"/>
      <c r="F13" s="867"/>
      <c r="G13" s="867"/>
      <c r="H13" s="867"/>
      <c r="I13" s="867"/>
      <c r="J13" s="867"/>
      <c r="K13" s="867"/>
      <c r="L13" s="867"/>
      <c r="M13" s="867"/>
      <c r="N13" s="867"/>
      <c r="O13" s="867"/>
      <c r="P13" s="867"/>
      <c r="Q13" s="867"/>
      <c r="R13" s="867"/>
      <c r="S13" s="867"/>
      <c r="T13" s="867"/>
      <c r="U13" s="867"/>
      <c r="V13" s="867"/>
      <c r="W13" s="867"/>
      <c r="X13" s="867"/>
      <c r="Y13" s="867"/>
      <c r="Z13" s="864"/>
    </row>
    <row r="14" spans="1:27" ht="18" customHeight="1">
      <c r="B14" s="479" t="s">
        <v>257</v>
      </c>
      <c r="E14" s="853" t="str">
        <f>cst_wskakunin_owner1_ZIP</f>
        <v/>
      </c>
      <c r="F14" s="855"/>
      <c r="G14" s="855"/>
      <c r="H14" s="855"/>
      <c r="I14" s="855"/>
      <c r="J14" s="855"/>
    </row>
    <row r="15" spans="1:27" ht="18" customHeight="1">
      <c r="B15" s="479" t="s">
        <v>261</v>
      </c>
      <c r="E15" s="853" t="str">
        <f>cst_wskakunin_owner1__address</f>
        <v/>
      </c>
      <c r="F15" s="868"/>
      <c r="G15" s="868"/>
      <c r="H15" s="868"/>
      <c r="I15" s="868"/>
      <c r="J15" s="868"/>
      <c r="K15" s="868"/>
      <c r="L15" s="868"/>
      <c r="M15" s="868"/>
      <c r="N15" s="868"/>
      <c r="O15" s="868"/>
      <c r="P15" s="868"/>
      <c r="Q15" s="868"/>
      <c r="R15" s="868"/>
      <c r="S15" s="868"/>
      <c r="T15" s="868"/>
      <c r="U15" s="868"/>
      <c r="V15" s="868"/>
      <c r="W15" s="868"/>
      <c r="X15" s="854"/>
      <c r="Y15" s="854"/>
      <c r="Z15" s="854"/>
      <c r="AA15" s="855"/>
    </row>
    <row r="16" spans="1:27" ht="18" customHeight="1">
      <c r="A16" s="483"/>
      <c r="B16" s="483" t="s">
        <v>264</v>
      </c>
      <c r="C16" s="483"/>
      <c r="D16" s="483"/>
      <c r="E16" s="856" t="str">
        <f>cst_wskakunin_owner1_TEL</f>
        <v/>
      </c>
      <c r="F16" s="857"/>
      <c r="G16" s="857"/>
      <c r="H16" s="857"/>
      <c r="I16" s="857"/>
      <c r="J16" s="857"/>
      <c r="K16" s="857"/>
      <c r="L16" s="857"/>
      <c r="M16" s="483"/>
      <c r="N16" s="483"/>
      <c r="O16" s="483"/>
      <c r="P16" s="483"/>
      <c r="Q16" s="483"/>
      <c r="R16" s="483"/>
      <c r="S16" s="483"/>
      <c r="T16" s="483"/>
      <c r="U16" s="483"/>
      <c r="V16" s="483"/>
      <c r="W16" s="483"/>
      <c r="X16" s="483"/>
      <c r="Y16" s="483"/>
      <c r="Z16" s="483"/>
      <c r="AA16" s="483"/>
    </row>
    <row r="17" spans="1:27" ht="18" customHeight="1">
      <c r="A17" s="479" t="s">
        <v>3051</v>
      </c>
    </row>
    <row r="18" spans="1:27" ht="18" customHeight="1">
      <c r="B18" s="479" t="s">
        <v>247</v>
      </c>
      <c r="E18" s="853" t="str">
        <f>cst_wskakunin_sekou1_NAME</f>
        <v/>
      </c>
      <c r="F18" s="855"/>
      <c r="G18" s="855"/>
      <c r="H18" s="855"/>
      <c r="I18" s="855"/>
      <c r="J18" s="855"/>
      <c r="K18" s="855"/>
      <c r="L18" s="855"/>
      <c r="M18" s="855"/>
      <c r="N18" s="855"/>
      <c r="O18" s="855"/>
      <c r="P18" s="855"/>
      <c r="Q18" s="855"/>
      <c r="R18" s="855"/>
      <c r="S18" s="855"/>
      <c r="T18" s="855"/>
      <c r="U18" s="855"/>
      <c r="V18" s="855"/>
      <c r="W18" s="855"/>
      <c r="X18" s="855"/>
      <c r="Y18" s="855"/>
      <c r="Z18" s="855"/>
      <c r="AA18" s="855"/>
    </row>
    <row r="19" spans="1:27" ht="18" customHeight="1">
      <c r="B19" s="479" t="s">
        <v>3052</v>
      </c>
    </row>
    <row r="20" spans="1:27" ht="18" customHeight="1">
      <c r="E20" s="853" t="str">
        <f>cst_wskakunin_sekou1_JIMU_NAME</f>
        <v/>
      </c>
      <c r="F20" s="855"/>
      <c r="G20" s="855"/>
      <c r="H20" s="855"/>
      <c r="I20" s="855"/>
      <c r="J20" s="855"/>
      <c r="K20" s="855"/>
      <c r="L20" s="855"/>
      <c r="M20" s="855"/>
      <c r="N20" s="855"/>
      <c r="O20" s="855"/>
      <c r="P20" s="855"/>
      <c r="Q20" s="855"/>
      <c r="R20" s="855"/>
      <c r="S20" s="855"/>
      <c r="T20" s="855"/>
      <c r="U20" s="855"/>
      <c r="V20" s="855"/>
      <c r="W20" s="855"/>
      <c r="X20" s="855"/>
      <c r="Y20" s="855"/>
      <c r="Z20" s="855"/>
      <c r="AA20" s="855"/>
    </row>
    <row r="21" spans="1:27" ht="18" customHeight="1">
      <c r="B21" s="479" t="s">
        <v>257</v>
      </c>
      <c r="E21" s="853" t="str">
        <f>cst_wskakunin_sekou1_ZIP</f>
        <v/>
      </c>
      <c r="F21" s="855"/>
      <c r="G21" s="855"/>
      <c r="H21" s="855"/>
      <c r="I21" s="855"/>
      <c r="J21" s="855"/>
    </row>
    <row r="22" spans="1:27" ht="18" customHeight="1">
      <c r="B22" s="479" t="s">
        <v>469</v>
      </c>
      <c r="E22" s="853" t="str">
        <f>cst_wskakunin_sekou1__address</f>
        <v/>
      </c>
      <c r="F22" s="854"/>
      <c r="G22" s="854"/>
      <c r="H22" s="854"/>
      <c r="I22" s="854"/>
      <c r="J22" s="854"/>
      <c r="K22" s="854"/>
      <c r="L22" s="854"/>
      <c r="M22" s="854"/>
      <c r="N22" s="854"/>
      <c r="O22" s="854"/>
      <c r="P22" s="854"/>
      <c r="Q22" s="854"/>
      <c r="R22" s="854"/>
      <c r="S22" s="854"/>
      <c r="T22" s="854"/>
      <c r="U22" s="854"/>
      <c r="V22" s="854"/>
      <c r="W22" s="854"/>
      <c r="X22" s="854"/>
      <c r="Y22" s="854"/>
      <c r="Z22" s="854"/>
      <c r="AA22" s="855"/>
    </row>
    <row r="23" spans="1:27" ht="18" customHeight="1">
      <c r="A23" s="483"/>
      <c r="B23" s="483" t="s">
        <v>264</v>
      </c>
      <c r="C23" s="483"/>
      <c r="D23" s="483"/>
      <c r="E23" s="856" t="str">
        <f>cst_wskakunin_sekou1_TEL</f>
        <v/>
      </c>
      <c r="F23" s="857"/>
      <c r="G23" s="857"/>
      <c r="H23" s="857"/>
      <c r="I23" s="857"/>
      <c r="J23" s="857"/>
      <c r="K23" s="857"/>
      <c r="L23" s="857"/>
      <c r="M23" s="483"/>
      <c r="N23" s="483"/>
      <c r="O23" s="483"/>
      <c r="P23" s="483"/>
      <c r="Q23" s="483"/>
      <c r="R23" s="483"/>
      <c r="S23" s="483"/>
      <c r="T23" s="483"/>
      <c r="U23" s="483"/>
      <c r="V23" s="483"/>
      <c r="W23" s="483"/>
      <c r="X23" s="483"/>
      <c r="Y23" s="483"/>
      <c r="Z23" s="483"/>
      <c r="AA23" s="483"/>
    </row>
    <row r="24" spans="1:27" ht="18" customHeight="1">
      <c r="A24" s="479" t="s">
        <v>3053</v>
      </c>
    </row>
    <row r="25" spans="1:27" ht="18" customHeight="1">
      <c r="B25" s="479" t="s">
        <v>247</v>
      </c>
      <c r="E25" s="853" t="str">
        <f>cst_wskakunin_kanri1_NAME</f>
        <v/>
      </c>
      <c r="F25" s="855"/>
      <c r="G25" s="855"/>
      <c r="H25" s="855"/>
      <c r="I25" s="855"/>
      <c r="J25" s="855"/>
      <c r="K25" s="855"/>
      <c r="L25" s="855"/>
      <c r="M25" s="855"/>
      <c r="N25" s="855"/>
      <c r="O25" s="855"/>
      <c r="P25" s="855"/>
      <c r="Q25" s="855"/>
      <c r="R25" s="855"/>
      <c r="S25" s="855"/>
      <c r="T25" s="855"/>
      <c r="U25" s="855"/>
      <c r="V25" s="855"/>
      <c r="W25" s="855"/>
      <c r="X25" s="855"/>
      <c r="Y25" s="855"/>
      <c r="Z25" s="855"/>
      <c r="AA25" s="855"/>
    </row>
    <row r="26" spans="1:27" ht="18" customHeight="1">
      <c r="B26" s="479" t="s">
        <v>3052</v>
      </c>
    </row>
    <row r="27" spans="1:27" ht="18" customHeight="1">
      <c r="E27" s="853" t="str">
        <f>cst_wskakunin_kanri1_JIMU_NAME</f>
        <v/>
      </c>
      <c r="F27" s="855"/>
      <c r="G27" s="855"/>
      <c r="H27" s="855"/>
      <c r="I27" s="855"/>
      <c r="J27" s="855"/>
      <c r="K27" s="855"/>
      <c r="L27" s="855"/>
      <c r="M27" s="855"/>
      <c r="N27" s="855"/>
      <c r="O27" s="855"/>
      <c r="P27" s="855"/>
      <c r="Q27" s="855"/>
      <c r="R27" s="855"/>
      <c r="S27" s="855"/>
      <c r="T27" s="855"/>
      <c r="U27" s="855"/>
      <c r="V27" s="855"/>
      <c r="W27" s="855"/>
      <c r="X27" s="855"/>
      <c r="Y27" s="855"/>
      <c r="Z27" s="855"/>
      <c r="AA27" s="855"/>
    </row>
    <row r="28" spans="1:27" ht="18" customHeight="1">
      <c r="B28" s="479" t="s">
        <v>257</v>
      </c>
      <c r="E28" s="853" t="str">
        <f>cst_wskakunin_kanri1_ZIP</f>
        <v/>
      </c>
      <c r="F28" s="855"/>
      <c r="G28" s="855"/>
      <c r="H28" s="855"/>
      <c r="I28" s="855"/>
      <c r="J28" s="855"/>
    </row>
    <row r="29" spans="1:27" ht="18" customHeight="1">
      <c r="B29" s="479" t="s">
        <v>469</v>
      </c>
      <c r="E29" s="853" t="str">
        <f>cst_wskakunin_kanri1__address</f>
        <v/>
      </c>
      <c r="F29" s="854"/>
      <c r="G29" s="854"/>
      <c r="H29" s="854"/>
      <c r="I29" s="854"/>
      <c r="J29" s="854"/>
      <c r="K29" s="854"/>
      <c r="L29" s="854"/>
      <c r="M29" s="854"/>
      <c r="N29" s="854"/>
      <c r="O29" s="854"/>
      <c r="P29" s="854"/>
      <c r="Q29" s="854"/>
      <c r="R29" s="854"/>
      <c r="S29" s="854"/>
      <c r="T29" s="854"/>
      <c r="U29" s="854"/>
      <c r="V29" s="854"/>
      <c r="W29" s="854"/>
      <c r="X29" s="854"/>
      <c r="Y29" s="854"/>
      <c r="Z29" s="854"/>
      <c r="AA29" s="855"/>
    </row>
    <row r="30" spans="1:27" ht="18" customHeight="1">
      <c r="A30" s="483"/>
      <c r="B30" s="483" t="s">
        <v>264</v>
      </c>
      <c r="C30" s="483"/>
      <c r="D30" s="483"/>
      <c r="E30" s="856" t="str">
        <f>cst_wskakunin_kanri1_TEL</f>
        <v/>
      </c>
      <c r="F30" s="857"/>
      <c r="G30" s="857"/>
      <c r="H30" s="857"/>
      <c r="I30" s="857"/>
      <c r="J30" s="857"/>
      <c r="K30" s="857"/>
      <c r="L30" s="857"/>
      <c r="M30" s="483"/>
      <c r="N30" s="483"/>
      <c r="O30" s="483"/>
      <c r="P30" s="483"/>
      <c r="Q30" s="483"/>
      <c r="R30" s="483"/>
      <c r="S30" s="483"/>
      <c r="T30" s="483"/>
      <c r="U30" s="483"/>
      <c r="V30" s="483"/>
      <c r="W30" s="483"/>
      <c r="X30" s="483"/>
      <c r="Y30" s="483"/>
      <c r="Z30" s="483"/>
      <c r="AA30" s="483"/>
    </row>
    <row r="31" spans="1:27" ht="18" customHeight="1">
      <c r="A31" s="479" t="s">
        <v>3054</v>
      </c>
      <c r="E31" s="479" t="s">
        <v>3055</v>
      </c>
    </row>
    <row r="32" spans="1:27" ht="18" customHeight="1">
      <c r="B32" s="479" t="s">
        <v>165</v>
      </c>
      <c r="I32" s="534" t="s">
        <v>2947</v>
      </c>
      <c r="J32" s="860" t="s">
        <v>3056</v>
      </c>
      <c r="K32" s="860"/>
      <c r="L32" s="860"/>
      <c r="M32" s="860"/>
      <c r="N32" s="860"/>
      <c r="O32" s="860"/>
      <c r="P32" s="860"/>
      <c r="Q32" s="860"/>
      <c r="R32" s="860"/>
      <c r="S32" s="535" t="s">
        <v>2849</v>
      </c>
    </row>
    <row r="33" spans="1:27" ht="18" customHeight="1">
      <c r="B33" s="479" t="s">
        <v>3057</v>
      </c>
      <c r="H33" s="536"/>
      <c r="I33" s="537"/>
      <c r="J33" s="538" t="str">
        <f>cst_shinsei_ISSUE_DATE</f>
        <v/>
      </c>
      <c r="K33" s="535"/>
      <c r="L33" s="539" t="str">
        <f>cst_shinsei_ISSUE_DATE</f>
        <v/>
      </c>
      <c r="M33" s="535"/>
      <c r="N33" s="540" t="str">
        <f>cst_shinsei_ISSUE_DATE</f>
        <v/>
      </c>
      <c r="O33" s="535"/>
      <c r="P33" s="535"/>
      <c r="Q33" s="535"/>
      <c r="R33" s="535"/>
      <c r="S33" s="535"/>
      <c r="T33" s="535"/>
      <c r="U33" s="535"/>
      <c r="V33" s="535"/>
      <c r="W33" s="535"/>
    </row>
    <row r="34" spans="1:27" ht="18" customHeight="1">
      <c r="A34" s="483"/>
      <c r="B34" s="483" t="s">
        <v>191</v>
      </c>
      <c r="C34" s="483"/>
      <c r="D34" s="483"/>
      <c r="E34" s="483"/>
      <c r="F34" s="483"/>
      <c r="G34" s="483"/>
      <c r="H34" s="483"/>
      <c r="I34" s="858" t="str">
        <f ca="1">cst_Pre_Corp__SHINSEI&amp;" "&amp;cst_Pre_Daihyou__SHINSEI</f>
        <v>株式会社愛知建築センター 代表取締役　鳥居　敏夫</v>
      </c>
      <c r="J34" s="859"/>
      <c r="K34" s="859"/>
      <c r="L34" s="859"/>
      <c r="M34" s="859"/>
      <c r="N34" s="859"/>
      <c r="O34" s="859"/>
      <c r="P34" s="859"/>
      <c r="Q34" s="859"/>
      <c r="R34" s="859"/>
      <c r="S34" s="859"/>
      <c r="T34" s="859"/>
      <c r="U34" s="859"/>
      <c r="V34" s="859"/>
      <c r="W34" s="859"/>
      <c r="X34" s="859"/>
      <c r="Y34" s="859"/>
      <c r="Z34" s="859"/>
      <c r="AA34" s="483"/>
    </row>
    <row r="35" spans="1:27" ht="18" customHeight="1">
      <c r="A35" s="479" t="s">
        <v>3058</v>
      </c>
    </row>
    <row r="36" spans="1:27" ht="18" customHeight="1">
      <c r="B36" s="479" t="s">
        <v>247</v>
      </c>
      <c r="E36" s="820"/>
      <c r="F36" s="821"/>
      <c r="G36" s="821"/>
      <c r="H36" s="821"/>
      <c r="I36" s="821"/>
      <c r="J36" s="821"/>
      <c r="K36" s="821"/>
      <c r="L36" s="821"/>
      <c r="M36" s="821"/>
      <c r="N36" s="821"/>
      <c r="O36" s="821"/>
      <c r="P36" s="821"/>
      <c r="Q36" s="821"/>
      <c r="R36" s="821"/>
      <c r="S36" s="821"/>
      <c r="T36" s="821"/>
      <c r="U36" s="821"/>
      <c r="V36" s="821"/>
      <c r="W36" s="821"/>
      <c r="X36" s="821"/>
    </row>
    <row r="37" spans="1:27" ht="18" customHeight="1">
      <c r="B37" s="479" t="s">
        <v>1503</v>
      </c>
      <c r="E37" s="820"/>
      <c r="F37" s="821"/>
      <c r="G37" s="821"/>
      <c r="H37" s="821"/>
      <c r="I37" s="821"/>
      <c r="J37" s="821"/>
      <c r="K37" s="821"/>
      <c r="L37" s="821"/>
      <c r="M37" s="821"/>
      <c r="N37" s="821"/>
      <c r="O37" s="821"/>
      <c r="P37" s="821"/>
      <c r="Q37" s="821"/>
      <c r="R37" s="821"/>
      <c r="S37" s="821"/>
      <c r="T37" s="821"/>
      <c r="U37" s="821"/>
      <c r="V37" s="821"/>
      <c r="W37" s="821"/>
      <c r="X37" s="821"/>
    </row>
    <row r="38" spans="1:27" ht="18" customHeight="1">
      <c r="B38" s="479" t="s">
        <v>257</v>
      </c>
      <c r="E38" s="820"/>
      <c r="F38" s="821"/>
      <c r="G38" s="821"/>
      <c r="H38" s="821"/>
      <c r="I38" s="821"/>
      <c r="J38" s="821"/>
    </row>
    <row r="39" spans="1:27" ht="18" customHeight="1">
      <c r="B39" s="479" t="s">
        <v>469</v>
      </c>
      <c r="E39" s="820"/>
      <c r="F39" s="821"/>
      <c r="G39" s="821"/>
      <c r="H39" s="821"/>
      <c r="I39" s="821"/>
      <c r="J39" s="821"/>
      <c r="K39" s="821"/>
      <c r="L39" s="821"/>
      <c r="M39" s="821"/>
      <c r="N39" s="821"/>
      <c r="O39" s="821"/>
      <c r="P39" s="821"/>
      <c r="Q39" s="821"/>
      <c r="R39" s="821"/>
      <c r="S39" s="821"/>
      <c r="T39" s="821"/>
      <c r="U39" s="821"/>
      <c r="V39" s="821"/>
      <c r="W39" s="821"/>
      <c r="X39" s="821"/>
      <c r="Y39" s="821"/>
    </row>
    <row r="40" spans="1:27" ht="18" customHeight="1">
      <c r="A40" s="483"/>
      <c r="B40" s="483" t="s">
        <v>264</v>
      </c>
      <c r="C40" s="483"/>
      <c r="D40" s="483"/>
      <c r="E40" s="824"/>
      <c r="F40" s="825"/>
      <c r="G40" s="825"/>
      <c r="H40" s="825"/>
      <c r="I40" s="825"/>
      <c r="J40" s="825"/>
      <c r="K40" s="825"/>
      <c r="L40" s="825"/>
      <c r="M40" s="483"/>
      <c r="N40" s="483"/>
      <c r="O40" s="483"/>
      <c r="P40" s="483"/>
      <c r="Q40" s="483"/>
      <c r="R40" s="483"/>
      <c r="S40" s="483"/>
      <c r="T40" s="483"/>
      <c r="U40" s="483"/>
      <c r="V40" s="483"/>
      <c r="W40" s="483"/>
      <c r="X40" s="483"/>
      <c r="Y40" s="483"/>
      <c r="Z40" s="483"/>
      <c r="AA40" s="483"/>
    </row>
    <row r="41" spans="1:27" ht="18" customHeight="1">
      <c r="A41" s="479" t="s">
        <v>3059</v>
      </c>
    </row>
    <row r="42" spans="1:27" ht="15.75" customHeight="1"/>
    <row r="43" spans="1:27" ht="15.75" customHeight="1"/>
    <row r="44" spans="1:27">
      <c r="A44" s="826" t="s">
        <v>3060</v>
      </c>
      <c r="B44" s="826"/>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row>
    <row r="45" spans="1:27" ht="16.5" customHeight="1">
      <c r="A45" s="479" t="s">
        <v>3061</v>
      </c>
    </row>
    <row r="46" spans="1:27" ht="16.5" customHeight="1">
      <c r="B46" s="479" t="s">
        <v>3062</v>
      </c>
      <c r="K46" s="849" t="str">
        <f ca="1">IF(wskakunin_KOUJI_TYAKUSYU_YOTEI_DATE="",TEXT(TODAY(),"ggg"),wskakunin_KOUJI_TYAKUSYU_YOTEI_DATE)</f>
        <v>令和</v>
      </c>
      <c r="L46" s="849"/>
      <c r="M46" s="485" t="str">
        <f>cst_wskakunin_KOUJI_TYAKUSYU_YOTEI_DATE</f>
        <v/>
      </c>
      <c r="N46" s="479" t="s">
        <v>3046</v>
      </c>
      <c r="O46" s="486" t="str">
        <f>cst_wskakunin_KOUJI_TYAKUSYU_YOTEI_DATE</f>
        <v/>
      </c>
      <c r="P46" s="479" t="s">
        <v>3047</v>
      </c>
      <c r="Q46" s="487" t="str">
        <f>cst_wskakunin_KOUJI_TYAKUSYU_YOTEI_DATE</f>
        <v/>
      </c>
      <c r="R46" s="479" t="s">
        <v>3048</v>
      </c>
    </row>
    <row r="47" spans="1:27" ht="16.5" customHeight="1">
      <c r="A47" s="483"/>
      <c r="B47" s="483" t="s">
        <v>3063</v>
      </c>
      <c r="C47" s="483"/>
      <c r="D47" s="483"/>
      <c r="E47" s="483"/>
      <c r="F47" s="483"/>
      <c r="G47" s="483"/>
      <c r="H47" s="483"/>
      <c r="I47" s="483"/>
      <c r="J47" s="483"/>
      <c r="K47" s="850" t="str">
        <f ca="1">IF(wskakunin_KOUJI_KANRYOU_YOTEI_DATE="",TEXT(TODAY(),"ggg"),wskakunin_KOUJI_KANRYOU_YOTEI_DATE)</f>
        <v>令和</v>
      </c>
      <c r="L47" s="850"/>
      <c r="M47" s="488" t="str">
        <f>cst_wskakunin_KOUJI_KANRYOU_YOTEI_DATE</f>
        <v/>
      </c>
      <c r="N47" s="483" t="s">
        <v>3046</v>
      </c>
      <c r="O47" s="489" t="str">
        <f>cst_wskakunin_KOUJI_KANRYOU_YOTEI_DATE</f>
        <v/>
      </c>
      <c r="P47" s="483" t="s">
        <v>3047</v>
      </c>
      <c r="Q47" s="490" t="str">
        <f>cst_wskakunin_KOUJI_KANRYOU_YOTEI_DATE</f>
        <v/>
      </c>
      <c r="R47" s="483" t="s">
        <v>3048</v>
      </c>
      <c r="S47" s="483"/>
      <c r="T47" s="483"/>
      <c r="U47" s="483"/>
      <c r="V47" s="483"/>
      <c r="W47" s="483"/>
      <c r="X47" s="483"/>
      <c r="Y47" s="483"/>
      <c r="Z47" s="483"/>
      <c r="AA47" s="483"/>
    </row>
    <row r="48" spans="1:27" ht="16.5" customHeight="1">
      <c r="A48" s="479" t="s">
        <v>3064</v>
      </c>
    </row>
    <row r="49" spans="1:28" ht="16.5" customHeight="1">
      <c r="B49" s="479" t="s">
        <v>3065</v>
      </c>
      <c r="I49" s="495" t="s">
        <v>2832</v>
      </c>
      <c r="J49" s="479" t="s">
        <v>3066</v>
      </c>
      <c r="M49" s="495" t="s">
        <v>2832</v>
      </c>
      <c r="N49" s="479" t="s">
        <v>3067</v>
      </c>
      <c r="T49" s="495" t="s">
        <v>2832</v>
      </c>
      <c r="U49" s="479" t="s">
        <v>3068</v>
      </c>
    </row>
    <row r="50" spans="1:28" ht="16.5" customHeight="1">
      <c r="I50" s="495" t="s">
        <v>2832</v>
      </c>
      <c r="J50" s="479" t="s">
        <v>3069</v>
      </c>
      <c r="M50" s="495" t="s">
        <v>2832</v>
      </c>
      <c r="N50" s="479" t="s">
        <v>3070</v>
      </c>
      <c r="T50" s="495" t="s">
        <v>2832</v>
      </c>
      <c r="U50" s="479" t="s">
        <v>3071</v>
      </c>
    </row>
    <row r="51" spans="1:28" ht="15" customHeight="1">
      <c r="B51" s="479" t="s">
        <v>3072</v>
      </c>
      <c r="K51" s="495" t="s">
        <v>2832</v>
      </c>
      <c r="L51" s="479" t="s">
        <v>3073</v>
      </c>
      <c r="R51" s="495" t="s">
        <v>2832</v>
      </c>
      <c r="S51" s="479" t="s">
        <v>3074</v>
      </c>
    </row>
    <row r="52" spans="1:28" ht="15" customHeight="1">
      <c r="K52" s="495" t="s">
        <v>2832</v>
      </c>
      <c r="L52" s="479" t="s">
        <v>3075</v>
      </c>
    </row>
    <row r="53" spans="1:28" ht="15" customHeight="1">
      <c r="A53" s="483"/>
      <c r="B53" s="483"/>
      <c r="C53" s="483"/>
      <c r="D53" s="483"/>
      <c r="E53" s="483"/>
      <c r="F53" s="483"/>
      <c r="G53" s="483"/>
      <c r="H53" s="483"/>
      <c r="I53" s="483"/>
      <c r="J53" s="483"/>
      <c r="K53" s="497" t="s">
        <v>2832</v>
      </c>
      <c r="L53" s="483" t="s">
        <v>3076</v>
      </c>
      <c r="M53" s="483"/>
      <c r="N53" s="483"/>
      <c r="O53" s="483"/>
      <c r="P53" s="483"/>
      <c r="Q53" s="483"/>
      <c r="R53" s="483"/>
      <c r="S53" s="483"/>
      <c r="T53" s="497" t="s">
        <v>2832</v>
      </c>
      <c r="U53" s="483" t="s">
        <v>3077</v>
      </c>
      <c r="V53" s="483"/>
      <c r="W53" s="483"/>
      <c r="X53" s="483"/>
      <c r="Y53" s="483"/>
      <c r="Z53" s="483"/>
      <c r="AA53" s="483"/>
    </row>
    <row r="54" spans="1:28" ht="16.5" customHeight="1">
      <c r="A54" s="479" t="s">
        <v>3078</v>
      </c>
    </row>
    <row r="55" spans="1:28" ht="16.5" customHeight="1">
      <c r="B55" s="479" t="s">
        <v>3079</v>
      </c>
      <c r="G55" s="851" t="str">
        <f>cst_wskakunin_BUILD__address</f>
        <v/>
      </c>
      <c r="H55" s="851"/>
      <c r="I55" s="851"/>
      <c r="J55" s="851"/>
      <c r="K55" s="851"/>
      <c r="L55" s="851"/>
      <c r="M55" s="851"/>
      <c r="N55" s="851"/>
      <c r="O55" s="851"/>
      <c r="P55" s="851"/>
      <c r="Q55" s="851"/>
      <c r="R55" s="851"/>
      <c r="S55" s="851"/>
      <c r="T55" s="851"/>
      <c r="U55" s="851"/>
      <c r="V55" s="851"/>
      <c r="W55" s="851"/>
      <c r="X55" s="851"/>
      <c r="Y55" s="851"/>
      <c r="Z55" s="851"/>
      <c r="AA55" s="851"/>
      <c r="AB55" s="851"/>
    </row>
    <row r="56" spans="1:28" ht="16.5" customHeight="1">
      <c r="G56" s="852"/>
      <c r="H56" s="852"/>
      <c r="I56" s="852"/>
      <c r="J56" s="852"/>
      <c r="K56" s="852"/>
      <c r="L56" s="852"/>
      <c r="M56" s="852"/>
      <c r="N56" s="852"/>
      <c r="O56" s="852"/>
      <c r="P56" s="852"/>
      <c r="Q56" s="852"/>
      <c r="R56" s="852"/>
      <c r="S56" s="852"/>
      <c r="T56" s="852"/>
      <c r="U56" s="852"/>
      <c r="V56" s="852"/>
      <c r="W56" s="852"/>
      <c r="X56" s="852"/>
      <c r="Y56" s="852"/>
      <c r="Z56" s="852"/>
      <c r="AA56" s="852"/>
      <c r="AB56" s="852"/>
    </row>
    <row r="57" spans="1:28" ht="16.5" customHeight="1">
      <c r="G57" s="852"/>
      <c r="H57" s="852"/>
      <c r="I57" s="852"/>
      <c r="J57" s="852"/>
      <c r="K57" s="852"/>
      <c r="L57" s="852"/>
      <c r="M57" s="852"/>
      <c r="N57" s="852"/>
      <c r="O57" s="852"/>
      <c r="P57" s="852"/>
      <c r="Q57" s="852"/>
      <c r="R57" s="852"/>
      <c r="S57" s="852"/>
      <c r="T57" s="852"/>
      <c r="U57" s="852"/>
      <c r="V57" s="852"/>
      <c r="W57" s="852"/>
      <c r="X57" s="852"/>
      <c r="Y57" s="852"/>
      <c r="Z57" s="852"/>
      <c r="AA57" s="852"/>
      <c r="AB57" s="852"/>
    </row>
    <row r="58" spans="1:28" ht="16.5" customHeight="1">
      <c r="B58" s="479" t="s">
        <v>3080</v>
      </c>
      <c r="G58" s="491" t="str">
        <f>IF(cst_wskakunin_KUIKI_SIGAIKA="■","☑","□")</f>
        <v>□</v>
      </c>
      <c r="H58" s="479" t="s">
        <v>3081</v>
      </c>
      <c r="N58" s="491" t="str">
        <f>IF(cst_wskakunin_KUIKI_TYOSEI="■","☑","□")</f>
        <v>□</v>
      </c>
      <c r="O58" s="479" t="s">
        <v>3082</v>
      </c>
    </row>
    <row r="59" spans="1:28" ht="16.5" customHeight="1">
      <c r="G59" s="491" t="str">
        <f>IF(cst_wskakunin_KUIKI_HISETTEI="■","☑","□")</f>
        <v>□</v>
      </c>
      <c r="H59" s="479" t="s">
        <v>3083</v>
      </c>
      <c r="R59" s="491" t="str">
        <f>IF(cst_wskakunin_KUIKI_JYUN_TOSHI="■","☑","□")</f>
        <v>□</v>
      </c>
      <c r="S59" s="479" t="s">
        <v>3084</v>
      </c>
    </row>
    <row r="60" spans="1:28" ht="16.5" customHeight="1">
      <c r="A60" s="483"/>
      <c r="B60" s="483"/>
      <c r="C60" s="483"/>
      <c r="D60" s="483"/>
      <c r="E60" s="483"/>
      <c r="F60" s="483"/>
      <c r="G60" s="492" t="str">
        <f>IF(cst_wskakunin_KUIKI_KUIKIGAI="■","☑","□")</f>
        <v>□</v>
      </c>
      <c r="H60" s="483" t="s">
        <v>3085</v>
      </c>
      <c r="I60" s="483"/>
      <c r="J60" s="483"/>
      <c r="K60" s="483"/>
      <c r="L60" s="483"/>
      <c r="M60" s="483"/>
      <c r="N60" s="483"/>
      <c r="O60" s="483"/>
      <c r="P60" s="483"/>
      <c r="Q60" s="483"/>
      <c r="R60" s="483"/>
      <c r="S60" s="483"/>
      <c r="T60" s="483"/>
      <c r="U60" s="483"/>
      <c r="V60" s="483"/>
      <c r="W60" s="483"/>
      <c r="X60" s="483"/>
      <c r="Y60" s="483"/>
      <c r="Z60" s="483"/>
      <c r="AA60" s="483"/>
    </row>
    <row r="61" spans="1:28" ht="16.5" customHeight="1">
      <c r="A61" s="493" t="s">
        <v>3086</v>
      </c>
      <c r="B61" s="493"/>
      <c r="C61" s="493"/>
      <c r="D61" s="493"/>
      <c r="E61" s="493"/>
      <c r="F61" s="494" t="str">
        <f>IF(cst_wskakunin_KOUJI_SINTIKU_box="■","☑","□")</f>
        <v>□</v>
      </c>
      <c r="G61" s="493" t="s">
        <v>3087</v>
      </c>
      <c r="H61" s="493"/>
      <c r="I61" s="493"/>
      <c r="J61" s="493"/>
      <c r="K61" s="494" t="str">
        <f>IF(cst_wskakunin_KOUJI_ZOUTIKU_box="■","☑","□")</f>
        <v>□</v>
      </c>
      <c r="L61" s="493" t="s">
        <v>3088</v>
      </c>
      <c r="M61" s="493"/>
      <c r="N61" s="493"/>
      <c r="O61" s="493"/>
      <c r="P61" s="494" t="str">
        <f>IF(cst_wskakunin_KOUJI_KAITIKU_box="■","☑","□")</f>
        <v>□</v>
      </c>
      <c r="Q61" s="493" t="s">
        <v>3089</v>
      </c>
      <c r="R61" s="493"/>
      <c r="S61" s="493"/>
      <c r="T61" s="493"/>
      <c r="U61" s="494" t="str">
        <f>IF(cst_wskakunin_KOUJI_ITEN_box="■","☑","□")</f>
        <v>□</v>
      </c>
      <c r="V61" s="493" t="s">
        <v>3090</v>
      </c>
      <c r="W61" s="493"/>
      <c r="X61" s="493"/>
      <c r="Y61" s="493"/>
      <c r="Z61" s="493"/>
      <c r="AA61" s="493"/>
    </row>
    <row r="62" spans="1:28" ht="16.5" customHeight="1">
      <c r="A62" s="479" t="s">
        <v>3091</v>
      </c>
      <c r="G62" s="479" t="s">
        <v>3092</v>
      </c>
      <c r="N62" s="484" t="s">
        <v>2912</v>
      </c>
      <c r="O62" s="827"/>
      <c r="P62" s="828"/>
      <c r="Q62" s="479" t="s">
        <v>2913</v>
      </c>
      <c r="R62" s="829" t="str">
        <f>IF(O62="","",VLOOKUP(O62,工事届用主要用途区分,2,FALSE))</f>
        <v/>
      </c>
      <c r="S62" s="830"/>
      <c r="T62" s="830"/>
      <c r="U62" s="830"/>
      <c r="V62" s="830"/>
      <c r="W62" s="830"/>
      <c r="X62" s="830"/>
      <c r="Y62" s="830"/>
      <c r="Z62" s="830"/>
      <c r="AA62" s="830"/>
    </row>
    <row r="63" spans="1:28" ht="16.5" customHeight="1">
      <c r="G63" s="479" t="s">
        <v>3093</v>
      </c>
      <c r="N63" s="484" t="s">
        <v>2912</v>
      </c>
      <c r="O63" s="831"/>
      <c r="P63" s="832"/>
      <c r="Q63" s="479" t="s">
        <v>2913</v>
      </c>
      <c r="R63" s="820" t="str">
        <f>IF(O63="","",VLOOKUP(O63,工事届用主要用途区分,2,FALSE))</f>
        <v/>
      </c>
      <c r="S63" s="821"/>
      <c r="T63" s="821"/>
      <c r="U63" s="821"/>
      <c r="V63" s="821"/>
      <c r="W63" s="821"/>
      <c r="X63" s="821"/>
      <c r="Y63" s="821"/>
      <c r="Z63" s="821"/>
      <c r="AA63" s="821"/>
    </row>
    <row r="64" spans="1:28" ht="16.5" customHeight="1">
      <c r="A64" s="483"/>
      <c r="B64" s="483"/>
      <c r="C64" s="483"/>
      <c r="D64" s="483"/>
      <c r="E64" s="483"/>
      <c r="F64" s="483"/>
      <c r="G64" s="483" t="s">
        <v>3094</v>
      </c>
      <c r="H64" s="483"/>
      <c r="I64" s="483"/>
      <c r="J64" s="483"/>
      <c r="K64" s="483"/>
      <c r="L64" s="483"/>
      <c r="M64" s="483"/>
      <c r="N64" s="496" t="s">
        <v>2912</v>
      </c>
      <c r="O64" s="847"/>
      <c r="P64" s="848"/>
      <c r="Q64" s="483" t="s">
        <v>2913</v>
      </c>
      <c r="R64" s="824" t="str">
        <f>IF(O64="","",VLOOKUP(O64,工事届用主要用途区分,2,FALSE))</f>
        <v/>
      </c>
      <c r="S64" s="825"/>
      <c r="T64" s="825"/>
      <c r="U64" s="825"/>
      <c r="V64" s="825"/>
      <c r="W64" s="825"/>
      <c r="X64" s="825"/>
      <c r="Y64" s="825"/>
      <c r="Z64" s="825"/>
      <c r="AA64" s="825"/>
    </row>
    <row r="65" spans="1:28" ht="16.5" customHeight="1">
      <c r="A65" s="479" t="s">
        <v>3095</v>
      </c>
    </row>
    <row r="66" spans="1:28" ht="16.5" customHeight="1">
      <c r="B66" s="479" t="s">
        <v>3096</v>
      </c>
      <c r="F66" s="484"/>
      <c r="H66" s="484" t="s">
        <v>2912</v>
      </c>
      <c r="I66" s="846" t="str">
        <f>IF(AND(I92="",I94=""),"",1)</f>
        <v/>
      </c>
      <c r="J66" s="837"/>
      <c r="K66" s="837"/>
      <c r="L66" s="837"/>
      <c r="M66" s="837"/>
      <c r="N66" s="479" t="s">
        <v>3097</v>
      </c>
      <c r="O66" s="484" t="s">
        <v>2912</v>
      </c>
      <c r="P66" s="834" t="str">
        <f>IF(AND(P92="",P94=""),"",2)</f>
        <v/>
      </c>
      <c r="Q66" s="837"/>
      <c r="R66" s="837"/>
      <c r="S66" s="837"/>
      <c r="T66" s="837"/>
      <c r="U66" s="479" t="s">
        <v>3097</v>
      </c>
      <c r="V66" s="484" t="s">
        <v>2912</v>
      </c>
      <c r="W66" s="834" t="str">
        <f>IF(AND(W92="",W94=""),"",3)</f>
        <v/>
      </c>
      <c r="X66" s="837"/>
      <c r="Y66" s="837"/>
      <c r="Z66" s="837"/>
      <c r="AA66" s="837"/>
      <c r="AB66" s="479" t="s">
        <v>3097</v>
      </c>
    </row>
    <row r="67" spans="1:28" ht="16.5" customHeight="1">
      <c r="B67" s="479" t="s">
        <v>3098</v>
      </c>
      <c r="H67" s="495" t="s">
        <v>2832</v>
      </c>
      <c r="I67" s="479" t="s">
        <v>2965</v>
      </c>
      <c r="J67" s="479" t="s">
        <v>1672</v>
      </c>
      <c r="O67" s="495" t="s">
        <v>2832</v>
      </c>
      <c r="P67" s="479" t="s">
        <v>2965</v>
      </c>
      <c r="Q67" s="479" t="s">
        <v>1672</v>
      </c>
      <c r="V67" s="495" t="s">
        <v>2832</v>
      </c>
      <c r="W67" s="479" t="s">
        <v>2965</v>
      </c>
      <c r="X67" s="479" t="s">
        <v>1672</v>
      </c>
    </row>
    <row r="68" spans="1:28" ht="15" customHeight="1">
      <c r="H68" s="495" t="s">
        <v>2832</v>
      </c>
      <c r="I68" s="479" t="s">
        <v>2968</v>
      </c>
      <c r="J68" s="479" t="s">
        <v>3099</v>
      </c>
      <c r="O68" s="495" t="s">
        <v>2832</v>
      </c>
      <c r="P68" s="479" t="s">
        <v>2968</v>
      </c>
      <c r="Q68" s="479" t="s">
        <v>3099</v>
      </c>
      <c r="V68" s="495" t="s">
        <v>2832</v>
      </c>
      <c r="W68" s="479" t="s">
        <v>2968</v>
      </c>
      <c r="X68" s="479" t="s">
        <v>3099</v>
      </c>
    </row>
    <row r="69" spans="1:28" ht="15" customHeight="1">
      <c r="J69" s="479" t="s">
        <v>3100</v>
      </c>
      <c r="Q69" s="479" t="s">
        <v>3100</v>
      </c>
      <c r="X69" s="479" t="s">
        <v>3100</v>
      </c>
    </row>
    <row r="70" spans="1:28" ht="15" customHeight="1">
      <c r="H70" s="495" t="s">
        <v>2832</v>
      </c>
      <c r="I70" s="479" t="s">
        <v>3101</v>
      </c>
      <c r="J70" s="479" t="s">
        <v>1676</v>
      </c>
      <c r="O70" s="495" t="s">
        <v>2832</v>
      </c>
      <c r="P70" s="479" t="s">
        <v>3101</v>
      </c>
      <c r="Q70" s="479" t="s">
        <v>1676</v>
      </c>
      <c r="V70" s="495" t="s">
        <v>2832</v>
      </c>
      <c r="W70" s="479" t="s">
        <v>3101</v>
      </c>
      <c r="X70" s="479" t="s">
        <v>1676</v>
      </c>
    </row>
    <row r="71" spans="1:28" ht="15" customHeight="1">
      <c r="H71" s="495" t="s">
        <v>2832</v>
      </c>
      <c r="I71" s="479" t="s">
        <v>3102</v>
      </c>
      <c r="J71" s="479" t="s">
        <v>1678</v>
      </c>
      <c r="O71" s="495" t="s">
        <v>2832</v>
      </c>
      <c r="P71" s="479" t="s">
        <v>3102</v>
      </c>
      <c r="Q71" s="479" t="s">
        <v>1678</v>
      </c>
      <c r="V71" s="495" t="s">
        <v>2832</v>
      </c>
      <c r="W71" s="479" t="s">
        <v>3102</v>
      </c>
      <c r="X71" s="479" t="s">
        <v>1678</v>
      </c>
    </row>
    <row r="72" spans="1:28" ht="15" customHeight="1">
      <c r="H72" s="495" t="s">
        <v>2832</v>
      </c>
      <c r="I72" s="479" t="s">
        <v>3103</v>
      </c>
      <c r="J72" s="479" t="s">
        <v>1680</v>
      </c>
      <c r="O72" s="495" t="s">
        <v>2832</v>
      </c>
      <c r="P72" s="479" t="s">
        <v>3103</v>
      </c>
      <c r="Q72" s="479" t="s">
        <v>1680</v>
      </c>
      <c r="V72" s="495" t="s">
        <v>2832</v>
      </c>
      <c r="W72" s="479" t="s">
        <v>3103</v>
      </c>
      <c r="X72" s="479" t="s">
        <v>1680</v>
      </c>
    </row>
    <row r="73" spans="1:28" ht="15" customHeight="1">
      <c r="H73" s="495" t="s">
        <v>2832</v>
      </c>
      <c r="I73" s="479" t="s">
        <v>3104</v>
      </c>
      <c r="J73" s="479" t="s">
        <v>1682</v>
      </c>
      <c r="O73" s="495" t="s">
        <v>2832</v>
      </c>
      <c r="P73" s="479" t="s">
        <v>3104</v>
      </c>
      <c r="Q73" s="479" t="s">
        <v>1682</v>
      </c>
      <c r="V73" s="495" t="s">
        <v>2832</v>
      </c>
      <c r="W73" s="479" t="s">
        <v>3104</v>
      </c>
      <c r="X73" s="479" t="s">
        <v>1682</v>
      </c>
    </row>
    <row r="74" spans="1:28" ht="15" customHeight="1">
      <c r="H74" s="495" t="s">
        <v>2832</v>
      </c>
      <c r="I74" s="479" t="s">
        <v>3105</v>
      </c>
      <c r="J74" s="479" t="s">
        <v>1684</v>
      </c>
      <c r="O74" s="495" t="s">
        <v>2832</v>
      </c>
      <c r="P74" s="479" t="s">
        <v>3105</v>
      </c>
      <c r="Q74" s="479" t="s">
        <v>1684</v>
      </c>
      <c r="V74" s="495" t="s">
        <v>2832</v>
      </c>
      <c r="W74" s="479" t="s">
        <v>3105</v>
      </c>
      <c r="X74" s="479" t="s">
        <v>1684</v>
      </c>
    </row>
    <row r="75" spans="1:28" ht="15" customHeight="1">
      <c r="H75" s="495" t="s">
        <v>2832</v>
      </c>
      <c r="I75" s="479" t="s">
        <v>3106</v>
      </c>
      <c r="O75" s="495" t="s">
        <v>2832</v>
      </c>
      <c r="P75" s="479" t="s">
        <v>3106</v>
      </c>
      <c r="V75" s="495" t="s">
        <v>2832</v>
      </c>
      <c r="W75" s="479" t="s">
        <v>3106</v>
      </c>
    </row>
    <row r="76" spans="1:28" ht="15" customHeight="1">
      <c r="B76" s="479" t="s">
        <v>3107</v>
      </c>
      <c r="H76" s="495" t="s">
        <v>2832</v>
      </c>
      <c r="I76" s="479" t="s">
        <v>2965</v>
      </c>
      <c r="J76" s="479" t="s">
        <v>2481</v>
      </c>
      <c r="O76" s="495" t="s">
        <v>2832</v>
      </c>
      <c r="P76" s="479" t="s">
        <v>2965</v>
      </c>
      <c r="Q76" s="479" t="s">
        <v>2481</v>
      </c>
      <c r="V76" s="495" t="s">
        <v>2832</v>
      </c>
      <c r="W76" s="479" t="s">
        <v>2965</v>
      </c>
      <c r="X76" s="479" t="s">
        <v>2481</v>
      </c>
    </row>
    <row r="77" spans="1:28" ht="15" customHeight="1">
      <c r="H77" s="495" t="s">
        <v>2832</v>
      </c>
      <c r="I77" s="479" t="s">
        <v>2968</v>
      </c>
      <c r="J77" s="479" t="s">
        <v>3108</v>
      </c>
      <c r="O77" s="495" t="s">
        <v>2832</v>
      </c>
      <c r="P77" s="479" t="s">
        <v>2968</v>
      </c>
      <c r="Q77" s="479" t="s">
        <v>3108</v>
      </c>
      <c r="V77" s="495" t="s">
        <v>2832</v>
      </c>
      <c r="W77" s="479" t="s">
        <v>2968</v>
      </c>
      <c r="X77" s="479" t="s">
        <v>3108</v>
      </c>
    </row>
    <row r="78" spans="1:28" ht="15" customHeight="1">
      <c r="J78" s="479" t="s">
        <v>3109</v>
      </c>
      <c r="Q78" s="479" t="s">
        <v>3109</v>
      </c>
      <c r="X78" s="479" t="s">
        <v>3109</v>
      </c>
    </row>
    <row r="79" spans="1:28" ht="15" customHeight="1">
      <c r="H79" s="495" t="s">
        <v>2832</v>
      </c>
      <c r="I79" s="479" t="s">
        <v>3101</v>
      </c>
      <c r="J79" s="479" t="s">
        <v>3110</v>
      </c>
      <c r="O79" s="495" t="s">
        <v>2832</v>
      </c>
      <c r="P79" s="479" t="s">
        <v>3101</v>
      </c>
      <c r="Q79" s="479" t="s">
        <v>3110</v>
      </c>
      <c r="V79" s="495" t="s">
        <v>2832</v>
      </c>
      <c r="W79" s="479" t="s">
        <v>3101</v>
      </c>
      <c r="X79" s="479" t="s">
        <v>3110</v>
      </c>
    </row>
    <row r="80" spans="1:28" ht="15" customHeight="1">
      <c r="J80" s="479" t="s">
        <v>3111</v>
      </c>
      <c r="Q80" s="479" t="s">
        <v>3111</v>
      </c>
      <c r="X80" s="479" t="s">
        <v>3111</v>
      </c>
    </row>
    <row r="81" spans="1:28" ht="15" customHeight="1">
      <c r="H81" s="495" t="s">
        <v>2832</v>
      </c>
      <c r="I81" s="479" t="s">
        <v>3102</v>
      </c>
      <c r="J81" s="479" t="s">
        <v>2548</v>
      </c>
      <c r="O81" s="495" t="s">
        <v>2832</v>
      </c>
      <c r="P81" s="479" t="s">
        <v>3102</v>
      </c>
      <c r="Q81" s="479" t="s">
        <v>2548</v>
      </c>
      <c r="V81" s="495" t="s">
        <v>2832</v>
      </c>
      <c r="W81" s="479" t="s">
        <v>3102</v>
      </c>
      <c r="X81" s="479" t="s">
        <v>2548</v>
      </c>
    </row>
    <row r="82" spans="1:28" ht="15" customHeight="1">
      <c r="H82" s="495" t="s">
        <v>2832</v>
      </c>
      <c r="I82" s="479" t="s">
        <v>3103</v>
      </c>
      <c r="J82" s="479" t="s">
        <v>3112</v>
      </c>
      <c r="O82" s="495" t="s">
        <v>2832</v>
      </c>
      <c r="P82" s="479" t="s">
        <v>3103</v>
      </c>
      <c r="Q82" s="479" t="s">
        <v>3112</v>
      </c>
      <c r="V82" s="495" t="s">
        <v>2832</v>
      </c>
      <c r="W82" s="479" t="s">
        <v>3103</v>
      </c>
      <c r="X82" s="479" t="s">
        <v>3112</v>
      </c>
    </row>
    <row r="83" spans="1:28" ht="15" customHeight="1">
      <c r="J83" s="479" t="s">
        <v>3113</v>
      </c>
      <c r="Q83" s="479" t="s">
        <v>3113</v>
      </c>
      <c r="X83" s="479" t="s">
        <v>3113</v>
      </c>
    </row>
    <row r="84" spans="1:28" ht="15" customHeight="1">
      <c r="H84" s="495" t="s">
        <v>2832</v>
      </c>
      <c r="I84" s="479" t="s">
        <v>3104</v>
      </c>
      <c r="J84" s="479" t="s">
        <v>1684</v>
      </c>
      <c r="O84" s="495" t="s">
        <v>2832</v>
      </c>
      <c r="P84" s="479" t="s">
        <v>3104</v>
      </c>
      <c r="Q84" s="479" t="s">
        <v>1684</v>
      </c>
      <c r="V84" s="495" t="s">
        <v>2832</v>
      </c>
      <c r="W84" s="479" t="s">
        <v>3104</v>
      </c>
      <c r="X84" s="479" t="s">
        <v>1684</v>
      </c>
    </row>
    <row r="85" spans="1:28" ht="15" customHeight="1">
      <c r="B85" s="479" t="s">
        <v>3114</v>
      </c>
    </row>
    <row r="86" spans="1:28" ht="15" customHeight="1">
      <c r="H86" s="484" t="s">
        <v>2912</v>
      </c>
      <c r="I86" s="834"/>
      <c r="J86" s="845"/>
      <c r="K86" s="845"/>
      <c r="L86" s="845"/>
      <c r="M86" s="479" t="s">
        <v>3115</v>
      </c>
      <c r="O86" s="484" t="s">
        <v>2912</v>
      </c>
      <c r="P86" s="834"/>
      <c r="Q86" s="845"/>
      <c r="R86" s="845"/>
      <c r="S86" s="845"/>
      <c r="T86" s="479" t="s">
        <v>3115</v>
      </c>
      <c r="V86" s="484" t="s">
        <v>2912</v>
      </c>
      <c r="W86" s="834"/>
      <c r="X86" s="834"/>
      <c r="Y86" s="834"/>
      <c r="Z86" s="834"/>
      <c r="AA86" s="479" t="s">
        <v>3115</v>
      </c>
    </row>
    <row r="87" spans="1:28" ht="16.5" customHeight="1">
      <c r="B87" s="479" t="s">
        <v>3116</v>
      </c>
    </row>
    <row r="88" spans="1:28" ht="15.75" customHeight="1">
      <c r="C88" s="479" t="s">
        <v>3117</v>
      </c>
      <c r="H88" s="484" t="s">
        <v>2912</v>
      </c>
      <c r="I88" s="843" t="str">
        <f>cst_wskakunin_p4_1_YUKA_MENSEKI_SHINSEI</f>
        <v/>
      </c>
      <c r="J88" s="844"/>
      <c r="K88" s="844"/>
      <c r="L88" s="844"/>
      <c r="M88" s="844"/>
      <c r="N88" s="479" t="s">
        <v>3097</v>
      </c>
      <c r="O88" s="484" t="s">
        <v>2912</v>
      </c>
      <c r="P88" s="843" t="str">
        <f>cst_wskakunin_p4_2_YUKA_MENSEKI_SHINSEI</f>
        <v/>
      </c>
      <c r="Q88" s="844"/>
      <c r="R88" s="844"/>
      <c r="S88" s="844"/>
      <c r="T88" s="844"/>
      <c r="U88" s="479" t="s">
        <v>3097</v>
      </c>
      <c r="V88" s="484" t="s">
        <v>2912</v>
      </c>
      <c r="W88" s="843" t="str">
        <f>cst_wskakunin_p4_3_YUKA_MENSEKI_SHINSEI</f>
        <v/>
      </c>
      <c r="X88" s="844"/>
      <c r="Y88" s="844"/>
      <c r="Z88" s="844"/>
      <c r="AA88" s="844"/>
      <c r="AB88" s="479" t="s">
        <v>3097</v>
      </c>
    </row>
    <row r="89" spans="1:28" ht="16.5" customHeight="1">
      <c r="B89" s="479" t="s">
        <v>3118</v>
      </c>
      <c r="I89" s="484"/>
      <c r="O89" s="484"/>
      <c r="V89" s="484"/>
    </row>
    <row r="90" spans="1:28" ht="16.5" customHeight="1">
      <c r="H90" s="484" t="s">
        <v>2912</v>
      </c>
      <c r="I90" s="834"/>
      <c r="J90" s="845"/>
      <c r="K90" s="845"/>
      <c r="L90" s="845"/>
      <c r="M90" s="479" t="s">
        <v>3119</v>
      </c>
      <c r="O90" s="484" t="s">
        <v>2912</v>
      </c>
      <c r="P90" s="834"/>
      <c r="Q90" s="845"/>
      <c r="R90" s="845"/>
      <c r="S90" s="845"/>
      <c r="T90" s="479" t="s">
        <v>3119</v>
      </c>
      <c r="V90" s="484" t="s">
        <v>2912</v>
      </c>
      <c r="W90" s="834"/>
      <c r="X90" s="834"/>
      <c r="Y90" s="834"/>
      <c r="Z90" s="834"/>
      <c r="AA90" s="479" t="s">
        <v>3119</v>
      </c>
    </row>
    <row r="91" spans="1:28" ht="16.5" customHeight="1">
      <c r="B91" s="479" t="s">
        <v>3120</v>
      </c>
    </row>
    <row r="92" spans="1:28" ht="16.5" customHeight="1">
      <c r="H92" s="484" t="s">
        <v>2912</v>
      </c>
      <c r="I92" s="840" t="str">
        <f>cst_wskakunin_p4_1_KAISU_TIKAI_NOZOKU</f>
        <v/>
      </c>
      <c r="J92" s="840"/>
      <c r="K92" s="840"/>
      <c r="L92" s="840"/>
      <c r="M92" s="840"/>
      <c r="N92" s="479" t="s">
        <v>3097</v>
      </c>
      <c r="O92" s="484" t="s">
        <v>2912</v>
      </c>
      <c r="P92" s="840" t="str">
        <f>cst_wskakunin_p4_2_KAISU_TIKAI_NOZOKU</f>
        <v/>
      </c>
      <c r="Q92" s="840"/>
      <c r="R92" s="840"/>
      <c r="S92" s="840"/>
      <c r="T92" s="840"/>
      <c r="U92" s="479" t="s">
        <v>3097</v>
      </c>
      <c r="V92" s="484" t="s">
        <v>2912</v>
      </c>
      <c r="W92" s="840" t="str">
        <f>cst_wskakunin_p4_3_KAISU_TIKAI_NOZOKU</f>
        <v/>
      </c>
      <c r="X92" s="840"/>
      <c r="Y92" s="840"/>
      <c r="Z92" s="840"/>
      <c r="AA92" s="840"/>
      <c r="AB92" s="479" t="s">
        <v>3097</v>
      </c>
    </row>
    <row r="93" spans="1:28" ht="16.5" customHeight="1">
      <c r="B93" s="479" t="s">
        <v>3121</v>
      </c>
    </row>
    <row r="94" spans="1:28" ht="16.5" customHeight="1">
      <c r="A94" s="483"/>
      <c r="B94" s="483"/>
      <c r="C94" s="483"/>
      <c r="D94" s="483"/>
      <c r="E94" s="483"/>
      <c r="F94" s="483"/>
      <c r="G94" s="483"/>
      <c r="H94" s="484" t="s">
        <v>2912</v>
      </c>
      <c r="I94" s="841" t="str">
        <f>cst_wskakunin_p4_1_KAISU_TIKAI</f>
        <v/>
      </c>
      <c r="J94" s="842"/>
      <c r="K94" s="842"/>
      <c r="L94" s="842"/>
      <c r="M94" s="842"/>
      <c r="N94" s="479" t="s">
        <v>3097</v>
      </c>
      <c r="O94" s="484" t="s">
        <v>2912</v>
      </c>
      <c r="P94" s="840" t="str">
        <f>cst_wskakunin_p4_2_KAISU_TIKAI</f>
        <v/>
      </c>
      <c r="Q94" s="840"/>
      <c r="R94" s="840"/>
      <c r="S94" s="840"/>
      <c r="T94" s="840"/>
      <c r="U94" s="479" t="s">
        <v>3097</v>
      </c>
      <c r="V94" s="484" t="s">
        <v>2912</v>
      </c>
      <c r="W94" s="840" t="str">
        <f>cst_wskakunin_p4_3_KAISU_TIKAI</f>
        <v/>
      </c>
      <c r="X94" s="840"/>
      <c r="Y94" s="840"/>
      <c r="Z94" s="840"/>
      <c r="AA94" s="840"/>
      <c r="AB94" s="479" t="s">
        <v>3097</v>
      </c>
    </row>
    <row r="95" spans="1:28" ht="16.5" customHeight="1">
      <c r="A95" s="493" t="s">
        <v>3122</v>
      </c>
      <c r="B95" s="493"/>
      <c r="C95" s="493"/>
      <c r="D95" s="493"/>
      <c r="E95" s="493"/>
      <c r="F95" s="493"/>
      <c r="G95" s="493"/>
      <c r="H95" s="493"/>
      <c r="I95" s="493"/>
      <c r="J95" s="493"/>
      <c r="K95" s="493"/>
      <c r="L95" s="493"/>
      <c r="M95" s="493"/>
      <c r="N95" s="835" t="str">
        <f>cst_wskakunin_SHIKITI_MENSEKI_1_TOTAL</f>
        <v/>
      </c>
      <c r="O95" s="836"/>
      <c r="P95" s="836"/>
      <c r="Q95" s="836"/>
      <c r="R95" s="836"/>
      <c r="S95" s="493" t="s">
        <v>2966</v>
      </c>
      <c r="T95" s="493"/>
      <c r="U95" s="493"/>
      <c r="V95" s="493"/>
      <c r="W95" s="493"/>
      <c r="X95" s="493"/>
      <c r="Y95" s="493"/>
      <c r="Z95" s="493"/>
      <c r="AA95" s="493"/>
    </row>
    <row r="96" spans="1:28" ht="8.25" customHeight="1"/>
    <row r="97" spans="1:27" ht="15" customHeight="1">
      <c r="A97" s="826" t="s">
        <v>3123</v>
      </c>
      <c r="B97" s="826"/>
      <c r="C97" s="826"/>
      <c r="D97" s="826"/>
      <c r="E97" s="826"/>
      <c r="F97" s="826"/>
      <c r="G97" s="826"/>
      <c r="H97" s="826"/>
      <c r="I97" s="826"/>
      <c r="J97" s="826"/>
      <c r="K97" s="826"/>
      <c r="L97" s="826"/>
      <c r="M97" s="826"/>
      <c r="N97" s="826"/>
      <c r="O97" s="826"/>
      <c r="P97" s="826"/>
      <c r="Q97" s="826"/>
      <c r="R97" s="826"/>
      <c r="S97" s="826"/>
      <c r="T97" s="826"/>
      <c r="U97" s="826"/>
      <c r="V97" s="826"/>
      <c r="W97" s="826"/>
      <c r="X97" s="826"/>
      <c r="Y97" s="826"/>
      <c r="Z97" s="826"/>
      <c r="AA97" s="826"/>
    </row>
    <row r="98" spans="1:27" ht="16.5" customHeight="1">
      <c r="A98" s="479" t="s">
        <v>3124</v>
      </c>
    </row>
    <row r="99" spans="1:27" ht="16.5" customHeight="1">
      <c r="B99" s="479" t="s">
        <v>3096</v>
      </c>
      <c r="G99" s="834"/>
      <c r="H99" s="837"/>
      <c r="I99" s="837"/>
    </row>
    <row r="100" spans="1:27" ht="16.5" customHeight="1">
      <c r="B100" s="479" t="s">
        <v>3125</v>
      </c>
      <c r="J100" s="479" t="s">
        <v>3126</v>
      </c>
      <c r="M100" s="479" t="s">
        <v>2912</v>
      </c>
      <c r="N100" s="495" t="s">
        <v>2832</v>
      </c>
      <c r="O100" s="479" t="s">
        <v>1879</v>
      </c>
      <c r="Q100" s="495" t="s">
        <v>2832</v>
      </c>
      <c r="R100" s="479" t="s">
        <v>1882</v>
      </c>
      <c r="T100" s="495" t="s">
        <v>2832</v>
      </c>
      <c r="U100" s="479" t="s">
        <v>1885</v>
      </c>
      <c r="W100" s="479" t="s">
        <v>3097</v>
      </c>
    </row>
    <row r="101" spans="1:27" ht="16.5" customHeight="1">
      <c r="J101" s="479" t="s">
        <v>3127</v>
      </c>
      <c r="M101" s="479" t="s">
        <v>2912</v>
      </c>
      <c r="Q101" s="495" t="s">
        <v>2832</v>
      </c>
      <c r="R101" s="479" t="s">
        <v>1882</v>
      </c>
      <c r="T101" s="495" t="s">
        <v>2832</v>
      </c>
      <c r="U101" s="479" t="s">
        <v>1885</v>
      </c>
      <c r="W101" s="479" t="s">
        <v>3097</v>
      </c>
    </row>
    <row r="102" spans="1:27" ht="16.5" customHeight="1">
      <c r="B102" s="479" t="s">
        <v>3128</v>
      </c>
      <c r="H102" s="495" t="s">
        <v>2832</v>
      </c>
      <c r="I102" s="479" t="s">
        <v>3129</v>
      </c>
      <c r="O102" s="495" t="s">
        <v>2832</v>
      </c>
      <c r="P102" s="479" t="s">
        <v>3130</v>
      </c>
      <c r="T102" s="495" t="s">
        <v>2832</v>
      </c>
      <c r="U102" s="479" t="s">
        <v>3131</v>
      </c>
    </row>
    <row r="103" spans="1:27" ht="16.5" customHeight="1">
      <c r="H103" s="495" t="s">
        <v>2832</v>
      </c>
      <c r="I103" s="479" t="s">
        <v>3132</v>
      </c>
      <c r="P103" s="495" t="s">
        <v>2832</v>
      </c>
      <c r="Q103" s="479" t="s">
        <v>3133</v>
      </c>
    </row>
    <row r="104" spans="1:27" ht="16.5" customHeight="1">
      <c r="B104" s="479" t="s">
        <v>3134</v>
      </c>
      <c r="H104" s="495" t="s">
        <v>2832</v>
      </c>
      <c r="I104" s="479" t="s">
        <v>3135</v>
      </c>
      <c r="N104" s="495" t="s">
        <v>2832</v>
      </c>
      <c r="O104" s="479" t="s">
        <v>3136</v>
      </c>
      <c r="U104" s="495" t="s">
        <v>2832</v>
      </c>
      <c r="V104" s="479" t="s">
        <v>3137</v>
      </c>
    </row>
    <row r="105" spans="1:27" ht="16.5" customHeight="1">
      <c r="B105" s="479" t="s">
        <v>3138</v>
      </c>
      <c r="H105" s="495" t="s">
        <v>2832</v>
      </c>
      <c r="I105" s="479" t="s">
        <v>3139</v>
      </c>
      <c r="N105" s="495" t="s">
        <v>2832</v>
      </c>
      <c r="O105" s="479" t="s">
        <v>3140</v>
      </c>
      <c r="U105" s="495" t="s">
        <v>2832</v>
      </c>
      <c r="V105" s="479" t="s">
        <v>3141</v>
      </c>
    </row>
    <row r="106" spans="1:27" ht="16.5" customHeight="1">
      <c r="B106" s="479" t="s">
        <v>3142</v>
      </c>
      <c r="H106" s="495" t="s">
        <v>2832</v>
      </c>
      <c r="I106" s="479" t="s">
        <v>3143</v>
      </c>
      <c r="N106" s="495" t="s">
        <v>2832</v>
      </c>
      <c r="O106" s="479" t="s">
        <v>3144</v>
      </c>
      <c r="U106" s="495" t="s">
        <v>2832</v>
      </c>
      <c r="V106" s="479" t="s">
        <v>3145</v>
      </c>
    </row>
    <row r="107" spans="1:27" ht="16.5" customHeight="1">
      <c r="B107" s="479" t="s">
        <v>3146</v>
      </c>
      <c r="G107" s="484"/>
      <c r="H107" s="495" t="s">
        <v>2832</v>
      </c>
      <c r="I107" s="838" t="s">
        <v>3147</v>
      </c>
      <c r="J107" s="839"/>
      <c r="K107" s="839"/>
      <c r="L107" s="498"/>
      <c r="M107" s="495" t="s">
        <v>2832</v>
      </c>
      <c r="N107" s="838" t="s">
        <v>3148</v>
      </c>
      <c r="O107" s="839"/>
      <c r="P107" s="839"/>
      <c r="Q107" s="498"/>
      <c r="R107" s="495" t="s">
        <v>2832</v>
      </c>
      <c r="S107" s="838" t="s">
        <v>3149</v>
      </c>
      <c r="T107" s="839"/>
      <c r="U107" s="839"/>
      <c r="V107" s="498"/>
      <c r="W107" s="495" t="s">
        <v>2832</v>
      </c>
      <c r="X107" s="838" t="s">
        <v>3150</v>
      </c>
      <c r="Y107" s="839"/>
      <c r="Z107" s="839"/>
      <c r="AA107" s="499"/>
    </row>
    <row r="108" spans="1:27" ht="16.5" customHeight="1">
      <c r="B108" s="479" t="s">
        <v>3151</v>
      </c>
      <c r="G108" s="484" t="s">
        <v>2912</v>
      </c>
      <c r="H108" s="820" t="str">
        <f>IF(H107="☑",1,"")</f>
        <v/>
      </c>
      <c r="I108" s="820"/>
      <c r="J108" s="820"/>
      <c r="K108" s="820"/>
      <c r="L108" s="498" t="s">
        <v>3152</v>
      </c>
      <c r="M108" s="834"/>
      <c r="N108" s="834"/>
      <c r="O108" s="834"/>
      <c r="P108" s="834"/>
      <c r="Q108" s="498" t="s">
        <v>3152</v>
      </c>
      <c r="R108" s="834"/>
      <c r="S108" s="834"/>
      <c r="T108" s="834"/>
      <c r="U108" s="834"/>
      <c r="V108" s="498" t="s">
        <v>3152</v>
      </c>
      <c r="W108" s="820" t="str">
        <f>IF(W107="☑",1,"")</f>
        <v/>
      </c>
      <c r="X108" s="820"/>
      <c r="Y108" s="820"/>
      <c r="Z108" s="820"/>
      <c r="AA108" s="499" t="s">
        <v>3097</v>
      </c>
    </row>
    <row r="109" spans="1:27" ht="16.5" customHeight="1">
      <c r="B109" s="479" t="s">
        <v>3153</v>
      </c>
      <c r="G109" s="484" t="s">
        <v>2912</v>
      </c>
      <c r="H109" s="833" t="str">
        <f>IF(H107="☑",cst_wskakunin_NOBE_MENSEKI_JYUTAKU_SHINSEI,"")</f>
        <v/>
      </c>
      <c r="I109" s="833"/>
      <c r="J109" s="833"/>
      <c r="K109" s="833"/>
      <c r="L109" s="498" t="s">
        <v>3152</v>
      </c>
      <c r="M109" s="834"/>
      <c r="N109" s="834"/>
      <c r="O109" s="834"/>
      <c r="P109" s="834"/>
      <c r="Q109" s="498" t="s">
        <v>3152</v>
      </c>
      <c r="R109" s="834"/>
      <c r="S109" s="834"/>
      <c r="T109" s="834"/>
      <c r="U109" s="834"/>
      <c r="V109" s="498" t="s">
        <v>3152</v>
      </c>
      <c r="W109" s="833" t="str">
        <f>IF(W107="☑",cst_wskakunin_NOBE_MENSEKI_JYUTAKU_SHINSEI,"")</f>
        <v/>
      </c>
      <c r="X109" s="833"/>
      <c r="Y109" s="833"/>
      <c r="Z109" s="833"/>
      <c r="AA109" s="499" t="s">
        <v>3097</v>
      </c>
    </row>
    <row r="110" spans="1:27" ht="16.5" customHeight="1">
      <c r="A110" s="483"/>
      <c r="B110" s="483"/>
      <c r="C110" s="483" t="s">
        <v>3154</v>
      </c>
      <c r="D110" s="483"/>
      <c r="E110" s="483"/>
      <c r="F110" s="483"/>
      <c r="G110" s="483"/>
      <c r="H110" s="483"/>
      <c r="I110" s="483"/>
      <c r="J110" s="483"/>
      <c r="K110" s="483"/>
      <c r="L110" s="483"/>
      <c r="M110" s="483"/>
      <c r="N110" s="483"/>
      <c r="O110" s="483"/>
      <c r="P110" s="483"/>
      <c r="Q110" s="483"/>
      <c r="R110" s="483"/>
      <c r="S110" s="483"/>
      <c r="T110" s="483"/>
      <c r="U110" s="483"/>
      <c r="V110" s="483"/>
      <c r="W110" s="483"/>
      <c r="X110" s="483"/>
      <c r="Y110" s="483"/>
      <c r="Z110" s="483"/>
      <c r="AA110" s="483"/>
    </row>
    <row r="112" spans="1:27" ht="15" customHeight="1">
      <c r="A112" s="826" t="s">
        <v>3155</v>
      </c>
      <c r="B112" s="826"/>
      <c r="C112" s="826"/>
      <c r="D112" s="826"/>
      <c r="E112" s="826"/>
      <c r="F112" s="826"/>
      <c r="G112" s="826"/>
      <c r="H112" s="826"/>
      <c r="I112" s="826"/>
      <c r="J112" s="826"/>
      <c r="K112" s="826"/>
      <c r="L112" s="826"/>
      <c r="M112" s="826"/>
      <c r="N112" s="826"/>
      <c r="O112" s="826"/>
      <c r="P112" s="826"/>
      <c r="Q112" s="826"/>
      <c r="R112" s="826"/>
      <c r="S112" s="826"/>
      <c r="T112" s="826"/>
      <c r="U112" s="826"/>
      <c r="V112" s="826"/>
      <c r="W112" s="826"/>
      <c r="X112" s="826"/>
      <c r="Y112" s="826"/>
      <c r="Z112" s="826"/>
      <c r="AA112" s="826"/>
    </row>
    <row r="113" spans="1:27" ht="16.5" customHeight="1">
      <c r="A113" s="479" t="s">
        <v>3156</v>
      </c>
      <c r="G113" s="479" t="s">
        <v>3092</v>
      </c>
      <c r="N113" s="484" t="s">
        <v>2912</v>
      </c>
      <c r="O113" s="827"/>
      <c r="P113" s="828"/>
      <c r="Q113" s="479" t="s">
        <v>2913</v>
      </c>
      <c r="R113" s="829" t="str">
        <f>IF(O113="","",VLOOKUP(O113,工事届用主要用途区分,2,FALSE))</f>
        <v/>
      </c>
      <c r="S113" s="830"/>
      <c r="T113" s="830"/>
      <c r="U113" s="830"/>
      <c r="V113" s="830"/>
      <c r="W113" s="830"/>
      <c r="X113" s="830"/>
      <c r="Y113" s="830"/>
      <c r="Z113" s="830"/>
      <c r="AA113" s="830"/>
    </row>
    <row r="114" spans="1:27" ht="16.5" customHeight="1">
      <c r="G114" s="479" t="s">
        <v>3093</v>
      </c>
      <c r="N114" s="484" t="s">
        <v>2912</v>
      </c>
      <c r="O114" s="831"/>
      <c r="P114" s="832"/>
      <c r="Q114" s="479" t="s">
        <v>2913</v>
      </c>
      <c r="R114" s="820" t="str">
        <f>IF(O114="","",VLOOKUP(O114,工事届用主要用途区分,2,FALSE))</f>
        <v/>
      </c>
      <c r="S114" s="821"/>
      <c r="T114" s="821"/>
      <c r="U114" s="821"/>
      <c r="V114" s="821"/>
      <c r="W114" s="821"/>
      <c r="X114" s="821"/>
      <c r="Y114" s="821"/>
      <c r="Z114" s="821"/>
      <c r="AA114" s="821"/>
    </row>
    <row r="115" spans="1:27" ht="16.5" customHeight="1">
      <c r="G115" s="479" t="s">
        <v>3094</v>
      </c>
      <c r="N115" s="484" t="s">
        <v>2912</v>
      </c>
      <c r="O115" s="831"/>
      <c r="P115" s="832"/>
      <c r="Q115" s="479" t="s">
        <v>2913</v>
      </c>
      <c r="R115" s="820" t="str">
        <f>IF(O115="","",VLOOKUP(O115,工事届用主要用途区分,2,FALSE))</f>
        <v/>
      </c>
      <c r="S115" s="821"/>
      <c r="T115" s="821"/>
      <c r="U115" s="821"/>
      <c r="V115" s="821"/>
      <c r="W115" s="821"/>
      <c r="X115" s="821"/>
      <c r="Y115" s="821"/>
      <c r="Z115" s="821"/>
      <c r="AA115" s="821"/>
    </row>
    <row r="116" spans="1:27" ht="16.5" customHeight="1">
      <c r="A116" s="479" t="s">
        <v>3157</v>
      </c>
      <c r="F116" s="495" t="s">
        <v>2832</v>
      </c>
      <c r="G116" s="479" t="s">
        <v>3158</v>
      </c>
      <c r="Q116" s="495" t="s">
        <v>2832</v>
      </c>
      <c r="R116" s="479" t="s">
        <v>3159</v>
      </c>
    </row>
    <row r="117" spans="1:27" ht="16.5" customHeight="1">
      <c r="A117" s="479" t="s">
        <v>3160</v>
      </c>
      <c r="F117" s="495" t="s">
        <v>2832</v>
      </c>
      <c r="G117" s="479" t="s">
        <v>3161</v>
      </c>
      <c r="Q117" s="495" t="s">
        <v>2832</v>
      </c>
      <c r="R117" s="479" t="s">
        <v>3159</v>
      </c>
    </row>
    <row r="118" spans="1:27" ht="16.5" customHeight="1">
      <c r="A118" s="479" t="s">
        <v>3162</v>
      </c>
      <c r="J118" s="820"/>
      <c r="K118" s="821"/>
    </row>
    <row r="119" spans="1:27" ht="16.5" customHeight="1">
      <c r="A119" s="479" t="s">
        <v>3163</v>
      </c>
      <c r="J119" s="820"/>
      <c r="K119" s="821"/>
      <c r="L119" s="479" t="s">
        <v>3164</v>
      </c>
    </row>
    <row r="120" spans="1:27" ht="16.5" customHeight="1">
      <c r="A120" s="479" t="s">
        <v>3165</v>
      </c>
      <c r="H120" s="495" t="s">
        <v>2832</v>
      </c>
      <c r="I120" s="479" t="s">
        <v>3166</v>
      </c>
      <c r="L120" s="495" t="s">
        <v>2832</v>
      </c>
      <c r="M120" s="479" t="s">
        <v>3167</v>
      </c>
      <c r="P120" s="495" t="s">
        <v>2832</v>
      </c>
      <c r="Q120" s="479" t="s">
        <v>3168</v>
      </c>
    </row>
    <row r="121" spans="1:27" ht="16.5" customHeight="1">
      <c r="A121" s="479" t="s">
        <v>3169</v>
      </c>
      <c r="I121" s="822"/>
      <c r="J121" s="823"/>
      <c r="K121" s="823"/>
      <c r="L121" s="479" t="s">
        <v>2966</v>
      </c>
    </row>
    <row r="122" spans="1:27" ht="16.5" customHeight="1">
      <c r="A122" s="483" t="s">
        <v>3170</v>
      </c>
      <c r="B122" s="483"/>
      <c r="C122" s="483"/>
      <c r="D122" s="483"/>
      <c r="E122" s="483"/>
      <c r="F122" s="483"/>
      <c r="G122" s="483"/>
      <c r="H122" s="483"/>
      <c r="I122" s="824"/>
      <c r="J122" s="825"/>
      <c r="K122" s="825"/>
      <c r="L122" s="483" t="s">
        <v>3171</v>
      </c>
      <c r="M122" s="483"/>
      <c r="N122" s="483"/>
      <c r="O122" s="483"/>
      <c r="P122" s="483"/>
      <c r="Q122" s="483"/>
      <c r="R122" s="483"/>
      <c r="S122" s="483"/>
      <c r="T122" s="483"/>
      <c r="U122" s="483"/>
      <c r="V122" s="483"/>
      <c r="W122" s="483"/>
      <c r="X122" s="483"/>
      <c r="Y122" s="483"/>
      <c r="Z122" s="483"/>
      <c r="AA122" s="483"/>
    </row>
  </sheetData>
  <sheetProtection formatCells="0" formatColumns="0" formatRows="0"/>
  <mergeCells count="82">
    <mergeCell ref="E21:J21"/>
    <mergeCell ref="A4:AA4"/>
    <mergeCell ref="A5:AA5"/>
    <mergeCell ref="A6:AA6"/>
    <mergeCell ref="S8:T8"/>
    <mergeCell ref="B10:E10"/>
    <mergeCell ref="B12:D13"/>
    <mergeCell ref="E12:Y13"/>
    <mergeCell ref="Z12:Z13"/>
    <mergeCell ref="E14:J14"/>
    <mergeCell ref="E15:AA15"/>
    <mergeCell ref="E16:L16"/>
    <mergeCell ref="E18:AA18"/>
    <mergeCell ref="E20:AA20"/>
    <mergeCell ref="E37:X37"/>
    <mergeCell ref="E22:AA22"/>
    <mergeCell ref="E23:L23"/>
    <mergeCell ref="E25:AA25"/>
    <mergeCell ref="E27:AA27"/>
    <mergeCell ref="E28:J28"/>
    <mergeCell ref="E29:AA29"/>
    <mergeCell ref="E30:L30"/>
    <mergeCell ref="I34:Z34"/>
    <mergeCell ref="E36:X36"/>
    <mergeCell ref="J32:R32"/>
    <mergeCell ref="O64:P64"/>
    <mergeCell ref="R64:AA64"/>
    <mergeCell ref="E38:J38"/>
    <mergeCell ref="E39:Y39"/>
    <mergeCell ref="E40:L40"/>
    <mergeCell ref="A44:AA44"/>
    <mergeCell ref="K46:L46"/>
    <mergeCell ref="K47:L47"/>
    <mergeCell ref="G55:AB57"/>
    <mergeCell ref="O62:P62"/>
    <mergeCell ref="R62:AA62"/>
    <mergeCell ref="O63:P63"/>
    <mergeCell ref="R63:AA63"/>
    <mergeCell ref="I66:M66"/>
    <mergeCell ref="P66:T66"/>
    <mergeCell ref="W66:AA66"/>
    <mergeCell ref="I86:L86"/>
    <mergeCell ref="P86:S86"/>
    <mergeCell ref="W86:Z86"/>
    <mergeCell ref="I88:M88"/>
    <mergeCell ref="P88:T88"/>
    <mergeCell ref="W88:AA88"/>
    <mergeCell ref="I90:L90"/>
    <mergeCell ref="P90:S90"/>
    <mergeCell ref="W90:Z90"/>
    <mergeCell ref="I92:M92"/>
    <mergeCell ref="P92:T92"/>
    <mergeCell ref="W92:AA92"/>
    <mergeCell ref="I94:M94"/>
    <mergeCell ref="P94:T94"/>
    <mergeCell ref="W94:AA94"/>
    <mergeCell ref="H109:K109"/>
    <mergeCell ref="M109:P109"/>
    <mergeCell ref="R109:U109"/>
    <mergeCell ref="W109:Z109"/>
    <mergeCell ref="N95:R95"/>
    <mergeCell ref="A97:AA97"/>
    <mergeCell ref="G99:I99"/>
    <mergeCell ref="I107:K107"/>
    <mergeCell ref="N107:P107"/>
    <mergeCell ref="S107:U107"/>
    <mergeCell ref="X107:Z107"/>
    <mergeCell ref="H108:K108"/>
    <mergeCell ref="M108:P108"/>
    <mergeCell ref="R108:U108"/>
    <mergeCell ref="W108:Z108"/>
    <mergeCell ref="J118:K118"/>
    <mergeCell ref="J119:K119"/>
    <mergeCell ref="I121:K121"/>
    <mergeCell ref="I122:K122"/>
    <mergeCell ref="A112:AA112"/>
    <mergeCell ref="O113:P113"/>
    <mergeCell ref="R113:AA113"/>
    <mergeCell ref="O114:P114"/>
    <mergeCell ref="R114:AA114"/>
    <mergeCell ref="O115:P115"/>
    <mergeCell ref="R115:AA115"/>
  </mergeCells>
  <phoneticPr fontId="116"/>
  <dataValidations count="4">
    <dataValidation type="list" allowBlank="1" showInputMessage="1" sqref="F116:F117 H67:H68 H70:H77 H79 H81:H82 H84 H102:H107 H120 I49:I50 K51:K53 L120 M49:M50 M107 N100 N104:N106 O67:O68 O70:O77 O79 O81:O82 O84 O102 P103 P120 Q100:Q101 Q116:Q117 R51 R107 T49:T50 T53 T100:T102 U104:U106 V67:V68 V70:V77 V79 V81:V82 V84 W107" xr:uid="{00000000-0002-0000-0C00-000000000000}">
      <formula1>"□,☑"</formula1>
    </dataValidation>
    <dataValidation allowBlank="1" showInputMessage="1" showErrorMessage="1" sqref="F61 F65600 F131136 F196672 F262208 F327744 F393280 F458816 F524352 F589888 F655424 F720960 F786496 F852032 F917568 F983104 K61 K65600 K131136 K196672 K262208 K327744 K393280 K458816 K524352 K589888 K655424 K720960 K786496 K852032 K917568 K983104 P61 P65600 P131136 P196672 P262208 P327744 P393280 P458816 P524352 P589888 P655424 P720960 P786496 P852032 P917568 P983104 U61 U65600 U131136 U196672 U262208 U327744 U393280 U458816 U524352 U589888 U655424 U720960 U786496 U852032 U917568 U983104 JB61 JB65600 JB131136 JB196672 JB262208 JB327744 JB393280 JB458816 JB524352 JB589888 JB655424 JB720960 JB786496 JB852032 JB917568 JB983104 JG61 JG65600 JG131136 JG196672 JG262208 JG327744 JG393280 JG458816 JG524352 JG589888 JG655424 JG720960 JG786496 JG852032 JG917568 JG983104 JL61 JL65600 JL131136 JL196672 JL262208 JL327744 JL393280 JL458816 JL524352 JL589888 JL655424 JL720960 JL786496 JL852032 JL917568 JL983104 JQ61 JQ65600 JQ131136 JQ196672 JQ262208 JQ327744 JQ393280 JQ458816 JQ524352 JQ589888 JQ655424 JQ720960 JQ786496 JQ852032 JQ917568 JQ983104 SX61 SX65600 SX131136 SX196672 SX262208 SX327744 SX393280 SX458816 SX524352 SX589888 SX655424 SX720960 SX786496 SX852032 SX917568 SX983104 TC61 TC65600 TC131136 TC196672 TC262208 TC327744 TC393280 TC458816 TC524352 TC589888 TC655424 TC720960 TC786496 TC852032 TC917568 TC983104 TH61 TH65600 TH131136 TH196672 TH262208 TH327744 TH393280 TH458816 TH524352 TH589888 TH655424 TH720960 TH786496 TH852032 TH917568 TH983104 TM61 TM65600 TM131136 TM196672 TM262208 TM327744 TM393280 TM458816 TM524352 TM589888 TM655424 TM720960 TM786496 TM852032 TM917568 TM983104 ACT61 ACT65600 ACT131136 ACT196672 ACT262208 ACT327744 ACT393280 ACT458816 ACT524352 ACT589888 ACT655424 ACT720960 ACT786496 ACT852032 ACT917568 ACT983104 ACY61 ACY65600 ACY131136 ACY196672 ACY262208 ACY327744 ACY393280 ACY458816 ACY524352 ACY589888 ACY655424 ACY720960 ACY786496 ACY852032 ACY917568 ACY983104 ADD61 ADD65600 ADD131136 ADD196672 ADD262208 ADD327744 ADD393280 ADD458816 ADD524352 ADD589888 ADD655424 ADD720960 ADD786496 ADD852032 ADD917568 ADD983104 ADI61 ADI65600 ADI131136 ADI196672 ADI262208 ADI327744 ADI393280 ADI458816 ADI524352 ADI589888 ADI655424 ADI720960 ADI786496 ADI852032 ADI917568 ADI983104 AMP61 AMP65600 AMP131136 AMP196672 AMP262208 AMP327744 AMP393280 AMP458816 AMP524352 AMP589888 AMP655424 AMP720960 AMP786496 AMP852032 AMP917568 AMP983104 AMU61 AMU65600 AMU131136 AMU196672 AMU262208 AMU327744 AMU393280 AMU458816 AMU524352 AMU589888 AMU655424 AMU720960 AMU786496 AMU852032 AMU917568 AMU983104 AMZ61 AMZ65600 AMZ131136 AMZ196672 AMZ262208 AMZ327744 AMZ393280 AMZ458816 AMZ524352 AMZ589888 AMZ655424 AMZ720960 AMZ786496 AMZ852032 AMZ917568 AMZ983104 ANE61 ANE65600 ANE131136 ANE196672 ANE262208 ANE327744 ANE393280 ANE458816 ANE524352 ANE589888 ANE655424 ANE720960 ANE786496 ANE852032 ANE917568 ANE983104 AWL61 AWL65600 AWL131136 AWL196672 AWL262208 AWL327744 AWL393280 AWL458816 AWL524352 AWL589888 AWL655424 AWL720960 AWL786496 AWL852032 AWL917568 AWL983104 AWQ61 AWQ65600 AWQ131136 AWQ196672 AWQ262208 AWQ327744 AWQ393280 AWQ458816 AWQ524352 AWQ589888 AWQ655424 AWQ720960 AWQ786496 AWQ852032 AWQ917568 AWQ983104 AWV61 AWV65600 AWV131136 AWV196672 AWV262208 AWV327744 AWV393280 AWV458816 AWV524352 AWV589888 AWV655424 AWV720960 AWV786496 AWV852032 AWV917568 AWV983104 AXA61 AXA65600 AXA131136 AXA196672 AXA262208 AXA327744 AXA393280 AXA458816 AXA524352 AXA589888 AXA655424 AXA720960 AXA786496 AXA852032 AXA917568 AXA983104 BGH61 BGH65600 BGH131136 BGH196672 BGH262208 BGH327744 BGH393280 BGH458816 BGH524352 BGH589888 BGH655424 BGH720960 BGH786496 BGH852032 BGH917568 BGH983104 BGM61 BGM65600 BGM131136 BGM196672 BGM262208 BGM327744 BGM393280 BGM458816 BGM524352 BGM589888 BGM655424 BGM720960 BGM786496 BGM852032 BGM917568 BGM983104 BGR61 BGR65600 BGR131136 BGR196672 BGR262208 BGR327744 BGR393280 BGR458816 BGR524352 BGR589888 BGR655424 BGR720960 BGR786496 BGR852032 BGR917568 BGR983104 BGW61 BGW65600 BGW131136 BGW196672 BGW262208 BGW327744 BGW393280 BGW458816 BGW524352 BGW589888 BGW655424 BGW720960 BGW786496 BGW852032 BGW917568 BGW983104 BQD61 BQD65600 BQD131136 BQD196672 BQD262208 BQD327744 BQD393280 BQD458816 BQD524352 BQD589888 BQD655424 BQD720960 BQD786496 BQD852032 BQD917568 BQD983104 BQI61 BQI65600 BQI131136 BQI196672 BQI262208 BQI327744 BQI393280 BQI458816 BQI524352 BQI589888 BQI655424 BQI720960 BQI786496 BQI852032 BQI917568 BQI983104 BQN61 BQN65600 BQN131136 BQN196672 BQN262208 BQN327744 BQN393280 BQN458816 BQN524352 BQN589888 BQN655424 BQN720960 BQN786496 BQN852032 BQN917568 BQN983104 BQS61 BQS65600 BQS131136 BQS196672 BQS262208 BQS327744 BQS393280 BQS458816 BQS524352 BQS589888 BQS655424 BQS720960 BQS786496 BQS852032 BQS917568 BQS983104 BZZ61 BZZ65600 BZZ131136 BZZ196672 BZZ262208 BZZ327744 BZZ393280 BZZ458816 BZZ524352 BZZ589888 BZZ655424 BZZ720960 BZZ786496 BZZ852032 BZZ917568 BZZ983104 CAE61 CAE65600 CAE131136 CAE196672 CAE262208 CAE327744 CAE393280 CAE458816 CAE524352 CAE589888 CAE655424 CAE720960 CAE786496 CAE852032 CAE917568 CAE983104 CAJ61 CAJ65600 CAJ131136 CAJ196672 CAJ262208 CAJ327744 CAJ393280 CAJ458816 CAJ524352 CAJ589888 CAJ655424 CAJ720960 CAJ786496 CAJ852032 CAJ917568 CAJ983104 CAO61 CAO65600 CAO131136 CAO196672 CAO262208 CAO327744 CAO393280 CAO458816 CAO524352 CAO589888 CAO655424 CAO720960 CAO786496 CAO852032 CAO917568 CAO983104 CJV61 CJV65600 CJV131136 CJV196672 CJV262208 CJV327744 CJV393280 CJV458816 CJV524352 CJV589888 CJV655424 CJV720960 CJV786496 CJV852032 CJV917568 CJV983104 CKA61 CKA65600 CKA131136 CKA196672 CKA262208 CKA327744 CKA393280 CKA458816 CKA524352 CKA589888 CKA655424 CKA720960 CKA786496 CKA852032 CKA917568 CKA983104 CKF61 CKF65600 CKF131136 CKF196672 CKF262208 CKF327744 CKF393280 CKF458816 CKF524352 CKF589888 CKF655424 CKF720960 CKF786496 CKF852032 CKF917568 CKF983104 CKK61 CKK65600 CKK131136 CKK196672 CKK262208 CKK327744 CKK393280 CKK458816 CKK524352 CKK589888 CKK655424 CKK720960 CKK786496 CKK852032 CKK917568 CKK983104 CTR61 CTR65600 CTR131136 CTR196672 CTR262208 CTR327744 CTR393280 CTR458816 CTR524352 CTR589888 CTR655424 CTR720960 CTR786496 CTR852032 CTR917568 CTR983104 CTW61 CTW65600 CTW131136 CTW196672 CTW262208 CTW327744 CTW393280 CTW458816 CTW524352 CTW589888 CTW655424 CTW720960 CTW786496 CTW852032 CTW917568 CTW983104 CUB61 CUB65600 CUB131136 CUB196672 CUB262208 CUB327744 CUB393280 CUB458816 CUB524352 CUB589888 CUB655424 CUB720960 CUB786496 CUB852032 CUB917568 CUB983104 CUG61 CUG65600 CUG131136 CUG196672 CUG262208 CUG327744 CUG393280 CUG458816 CUG524352 CUG589888 CUG655424 CUG720960 CUG786496 CUG852032 CUG917568 CUG983104 DDN61 DDN65600 DDN131136 DDN196672 DDN262208 DDN327744 DDN393280 DDN458816 DDN524352 DDN589888 DDN655424 DDN720960 DDN786496 DDN852032 DDN917568 DDN983104 DDS61 DDS65600 DDS131136 DDS196672 DDS262208 DDS327744 DDS393280 DDS458816 DDS524352 DDS589888 DDS655424 DDS720960 DDS786496 DDS852032 DDS917568 DDS983104 DDX61 DDX65600 DDX131136 DDX196672 DDX262208 DDX327744 DDX393280 DDX458816 DDX524352 DDX589888 DDX655424 DDX720960 DDX786496 DDX852032 DDX917568 DDX983104 DEC61 DEC65600 DEC131136 DEC196672 DEC262208 DEC327744 DEC393280 DEC458816 DEC524352 DEC589888 DEC655424 DEC720960 DEC786496 DEC852032 DEC917568 DEC983104 DNJ61 DNJ65600 DNJ131136 DNJ196672 DNJ262208 DNJ327744 DNJ393280 DNJ458816 DNJ524352 DNJ589888 DNJ655424 DNJ720960 DNJ786496 DNJ852032 DNJ917568 DNJ983104 DNO61 DNO65600 DNO131136 DNO196672 DNO262208 DNO327744 DNO393280 DNO458816 DNO524352 DNO589888 DNO655424 DNO720960 DNO786496 DNO852032 DNO917568 DNO983104 DNT61 DNT65600 DNT131136 DNT196672 DNT262208 DNT327744 DNT393280 DNT458816 DNT524352 DNT589888 DNT655424 DNT720960 DNT786496 DNT852032 DNT917568 DNT983104 DNY61 DNY65600 DNY131136 DNY196672 DNY262208 DNY327744 DNY393280 DNY458816 DNY524352 DNY589888 DNY655424 DNY720960 DNY786496 DNY852032 DNY917568 DNY983104 DXF61 DXF65600 DXF131136 DXF196672 DXF262208 DXF327744 DXF393280 DXF458816 DXF524352 DXF589888 DXF655424 DXF720960 DXF786496 DXF852032 DXF917568 DXF983104 DXK61 DXK65600 DXK131136 DXK196672 DXK262208 DXK327744 DXK393280 DXK458816 DXK524352 DXK589888 DXK655424 DXK720960 DXK786496 DXK852032 DXK917568 DXK983104 DXP61 DXP65600 DXP131136 DXP196672 DXP262208 DXP327744 DXP393280 DXP458816 DXP524352 DXP589888 DXP655424 DXP720960 DXP786496 DXP852032 DXP917568 DXP983104 DXU61 DXU65600 DXU131136 DXU196672 DXU262208 DXU327744 DXU393280 DXU458816 DXU524352 DXU589888 DXU655424 DXU720960 DXU786496 DXU852032 DXU917568 DXU983104 EHB61 EHB65600 EHB131136 EHB196672 EHB262208 EHB327744 EHB393280 EHB458816 EHB524352 EHB589888 EHB655424 EHB720960 EHB786496 EHB852032 EHB917568 EHB983104 EHG61 EHG65600 EHG131136 EHG196672 EHG262208 EHG327744 EHG393280 EHG458816 EHG524352 EHG589888 EHG655424 EHG720960 EHG786496 EHG852032 EHG917568 EHG983104 EHL61 EHL65600 EHL131136 EHL196672 EHL262208 EHL327744 EHL393280 EHL458816 EHL524352 EHL589888 EHL655424 EHL720960 EHL786496 EHL852032 EHL917568 EHL983104 EHQ61 EHQ65600 EHQ131136 EHQ196672 EHQ262208 EHQ327744 EHQ393280 EHQ458816 EHQ524352 EHQ589888 EHQ655424 EHQ720960 EHQ786496 EHQ852032 EHQ917568 EHQ983104 EQX61 EQX65600 EQX131136 EQX196672 EQX262208 EQX327744 EQX393280 EQX458816 EQX524352 EQX589888 EQX655424 EQX720960 EQX786496 EQX852032 EQX917568 EQX983104 ERC61 ERC65600 ERC131136 ERC196672 ERC262208 ERC327744 ERC393280 ERC458816 ERC524352 ERC589888 ERC655424 ERC720960 ERC786496 ERC852032 ERC917568 ERC983104 ERH61 ERH65600 ERH131136 ERH196672 ERH262208 ERH327744 ERH393280 ERH458816 ERH524352 ERH589888 ERH655424 ERH720960 ERH786496 ERH852032 ERH917568 ERH983104 ERM61 ERM65600 ERM131136 ERM196672 ERM262208 ERM327744 ERM393280 ERM458816 ERM524352 ERM589888 ERM655424 ERM720960 ERM786496 ERM852032 ERM917568 ERM983104 FAT61 FAT65600 FAT131136 FAT196672 FAT262208 FAT327744 FAT393280 FAT458816 FAT524352 FAT589888 FAT655424 FAT720960 FAT786496 FAT852032 FAT917568 FAT983104 FAY61 FAY65600 FAY131136 FAY196672 FAY262208 FAY327744 FAY393280 FAY458816 FAY524352 FAY589888 FAY655424 FAY720960 FAY786496 FAY852032 FAY917568 FAY983104 FBD61 FBD65600 FBD131136 FBD196672 FBD262208 FBD327744 FBD393280 FBD458816 FBD524352 FBD589888 FBD655424 FBD720960 FBD786496 FBD852032 FBD917568 FBD983104 FBI61 FBI65600 FBI131136 FBI196672 FBI262208 FBI327744 FBI393280 FBI458816 FBI524352 FBI589888 FBI655424 FBI720960 FBI786496 FBI852032 FBI917568 FBI983104 FKP61 FKP65600 FKP131136 FKP196672 FKP262208 FKP327744 FKP393280 FKP458816 FKP524352 FKP589888 FKP655424 FKP720960 FKP786496 FKP852032 FKP917568 FKP983104 FKU61 FKU65600 FKU131136 FKU196672 FKU262208 FKU327744 FKU393280 FKU458816 FKU524352 FKU589888 FKU655424 FKU720960 FKU786496 FKU852032 FKU917568 FKU983104 FKZ61 FKZ65600 FKZ131136 FKZ196672 FKZ262208 FKZ327744 FKZ393280 FKZ458816 FKZ524352 FKZ589888 FKZ655424 FKZ720960 FKZ786496 FKZ852032 FKZ917568 FKZ983104 FLE61 FLE65600 FLE131136 FLE196672 FLE262208 FLE327744 FLE393280 FLE458816 FLE524352 FLE589888 FLE655424 FLE720960 FLE786496 FLE852032 FLE917568 FLE983104 FUL61 FUL65600 FUL131136 FUL196672 FUL262208 FUL327744 FUL393280 FUL458816 FUL524352 FUL589888 FUL655424 FUL720960 FUL786496 FUL852032 FUL917568 FUL983104 FUQ61 FUQ65600 FUQ131136 FUQ196672 FUQ262208 FUQ327744 FUQ393280 FUQ458816 FUQ524352 FUQ589888 FUQ655424 FUQ720960 FUQ786496 FUQ852032 FUQ917568 FUQ983104 FUV61 FUV65600 FUV131136 FUV196672 FUV262208 FUV327744 FUV393280 FUV458816 FUV524352 FUV589888 FUV655424 FUV720960 FUV786496 FUV852032 FUV917568 FUV983104 FVA61 FVA65600 FVA131136 FVA196672 FVA262208 FVA327744 FVA393280 FVA458816 FVA524352 FVA589888 FVA655424 FVA720960 FVA786496 FVA852032 FVA917568 FVA983104 GEH61 GEH65600 GEH131136 GEH196672 GEH262208 GEH327744 GEH393280 GEH458816 GEH524352 GEH589888 GEH655424 GEH720960 GEH786496 GEH852032 GEH917568 GEH983104 GEM61 GEM65600 GEM131136 GEM196672 GEM262208 GEM327744 GEM393280 GEM458816 GEM524352 GEM589888 GEM655424 GEM720960 GEM786496 GEM852032 GEM917568 GEM983104 GER61 GER65600 GER131136 GER196672 GER262208 GER327744 GER393280 GER458816 GER524352 GER589888 GER655424 GER720960 GER786496 GER852032 GER917568 GER983104 GEW61 GEW65600 GEW131136 GEW196672 GEW262208 GEW327744 GEW393280 GEW458816 GEW524352 GEW589888 GEW655424 GEW720960 GEW786496 GEW852032 GEW917568 GEW983104 GOD61 GOD65600 GOD131136 GOD196672 GOD262208 GOD327744 GOD393280 GOD458816 GOD524352 GOD589888 GOD655424 GOD720960 GOD786496 GOD852032 GOD917568 GOD983104 GOI61 GOI65600 GOI131136 GOI196672 GOI262208 GOI327744 GOI393280 GOI458816 GOI524352 GOI589888 GOI655424 GOI720960 GOI786496 GOI852032 GOI917568 GOI983104 GON61 GON65600 GON131136 GON196672 GON262208 GON327744 GON393280 GON458816 GON524352 GON589888 GON655424 GON720960 GON786496 GON852032 GON917568 GON983104 GOS61 GOS65600 GOS131136 GOS196672 GOS262208 GOS327744 GOS393280 GOS458816 GOS524352 GOS589888 GOS655424 GOS720960 GOS786496 GOS852032 GOS917568 GOS983104 GXZ61 GXZ65600 GXZ131136 GXZ196672 GXZ262208 GXZ327744 GXZ393280 GXZ458816 GXZ524352 GXZ589888 GXZ655424 GXZ720960 GXZ786496 GXZ852032 GXZ917568 GXZ983104 GYE61 GYE65600 GYE131136 GYE196672 GYE262208 GYE327744 GYE393280 GYE458816 GYE524352 GYE589888 GYE655424 GYE720960 GYE786496 GYE852032 GYE917568 GYE983104 GYJ61 GYJ65600 GYJ131136 GYJ196672 GYJ262208 GYJ327744 GYJ393280 GYJ458816 GYJ524352 GYJ589888 GYJ655424 GYJ720960 GYJ786496 GYJ852032 GYJ917568 GYJ983104 GYO61 GYO65600 GYO131136 GYO196672 GYO262208 GYO327744 GYO393280 GYO458816 GYO524352 GYO589888 GYO655424 GYO720960 GYO786496 GYO852032 GYO917568 GYO983104 HHV61 HHV65600 HHV131136 HHV196672 HHV262208 HHV327744 HHV393280 HHV458816 HHV524352 HHV589888 HHV655424 HHV720960 HHV786496 HHV852032 HHV917568 HHV983104 HIA61 HIA65600 HIA131136 HIA196672 HIA262208 HIA327744 HIA393280 HIA458816 HIA524352 HIA589888 HIA655424 HIA720960 HIA786496 HIA852032 HIA917568 HIA983104 HIF61 HIF65600 HIF131136 HIF196672 HIF262208 HIF327744 HIF393280 HIF458816 HIF524352 HIF589888 HIF655424 HIF720960 HIF786496 HIF852032 HIF917568 HIF983104 HIK61 HIK65600 HIK131136 HIK196672 HIK262208 HIK327744 HIK393280 HIK458816 HIK524352 HIK589888 HIK655424 HIK720960 HIK786496 HIK852032 HIK917568 HIK983104 HRR61 HRR65600 HRR131136 HRR196672 HRR262208 HRR327744 HRR393280 HRR458816 HRR524352 HRR589888 HRR655424 HRR720960 HRR786496 HRR852032 HRR917568 HRR983104 HRW61 HRW65600 HRW131136 HRW196672 HRW262208 HRW327744 HRW393280 HRW458816 HRW524352 HRW589888 HRW655424 HRW720960 HRW786496 HRW852032 HRW917568 HRW983104 HSB61 HSB65600 HSB131136 HSB196672 HSB262208 HSB327744 HSB393280 HSB458816 HSB524352 HSB589888 HSB655424 HSB720960 HSB786496 HSB852032 HSB917568 HSB983104 HSG61 HSG65600 HSG131136 HSG196672 HSG262208 HSG327744 HSG393280 HSG458816 HSG524352 HSG589888 HSG655424 HSG720960 HSG786496 HSG852032 HSG917568 HSG983104 IBN61 IBN65600 IBN131136 IBN196672 IBN262208 IBN327744 IBN393280 IBN458816 IBN524352 IBN589888 IBN655424 IBN720960 IBN786496 IBN852032 IBN917568 IBN983104 IBS61 IBS65600 IBS131136 IBS196672 IBS262208 IBS327744 IBS393280 IBS458816 IBS524352 IBS589888 IBS655424 IBS720960 IBS786496 IBS852032 IBS917568 IBS983104 IBX61 IBX65600 IBX131136 IBX196672 IBX262208 IBX327744 IBX393280 IBX458816 IBX524352 IBX589888 IBX655424 IBX720960 IBX786496 IBX852032 IBX917568 IBX983104 ICC61 ICC65600 ICC131136 ICC196672 ICC262208 ICC327744 ICC393280 ICC458816 ICC524352 ICC589888 ICC655424 ICC720960 ICC786496 ICC852032 ICC917568 ICC983104 ILJ61 ILJ65600 ILJ131136 ILJ196672 ILJ262208 ILJ327744 ILJ393280 ILJ458816 ILJ524352 ILJ589888 ILJ655424 ILJ720960 ILJ786496 ILJ852032 ILJ917568 ILJ983104 ILO61 ILO65600 ILO131136 ILO196672 ILO262208 ILO327744 ILO393280 ILO458816 ILO524352 ILO589888 ILO655424 ILO720960 ILO786496 ILO852032 ILO917568 ILO983104 ILT61 ILT65600 ILT131136 ILT196672 ILT262208 ILT327744 ILT393280 ILT458816 ILT524352 ILT589888 ILT655424 ILT720960 ILT786496 ILT852032 ILT917568 ILT983104 ILY61 ILY65600 ILY131136 ILY196672 ILY262208 ILY327744 ILY393280 ILY458816 ILY524352 ILY589888 ILY655424 ILY720960 ILY786496 ILY852032 ILY917568 ILY983104 IVF61 IVF65600 IVF131136 IVF196672 IVF262208 IVF327744 IVF393280 IVF458816 IVF524352 IVF589888 IVF655424 IVF720960 IVF786496 IVF852032 IVF917568 IVF983104 IVK61 IVK65600 IVK131136 IVK196672 IVK262208 IVK327744 IVK393280 IVK458816 IVK524352 IVK589888 IVK655424 IVK720960 IVK786496 IVK852032 IVK917568 IVK983104 IVP61 IVP65600 IVP131136 IVP196672 IVP262208 IVP327744 IVP393280 IVP458816 IVP524352 IVP589888 IVP655424 IVP720960 IVP786496 IVP852032 IVP917568 IVP983104 IVU61 IVU65600 IVU131136 IVU196672 IVU262208 IVU327744 IVU393280 IVU458816 IVU524352 IVU589888 IVU655424 IVU720960 IVU786496 IVU852032 IVU917568 IVU983104 JFB61 JFB65600 JFB131136 JFB196672 JFB262208 JFB327744 JFB393280 JFB458816 JFB524352 JFB589888 JFB655424 JFB720960 JFB786496 JFB852032 JFB917568 JFB983104 JFG61 JFG65600 JFG131136 JFG196672 JFG262208 JFG327744 JFG393280 JFG458816 JFG524352 JFG589888 JFG655424 JFG720960 JFG786496 JFG852032 JFG917568 JFG983104 JFL61 JFL65600 JFL131136 JFL196672 JFL262208 JFL327744 JFL393280 JFL458816 JFL524352 JFL589888 JFL655424 JFL720960 JFL786496 JFL852032 JFL917568 JFL983104 JFQ61 JFQ65600 JFQ131136 JFQ196672 JFQ262208 JFQ327744 JFQ393280 JFQ458816 JFQ524352 JFQ589888 JFQ655424 JFQ720960 JFQ786496 JFQ852032 JFQ917568 JFQ983104 JOX61 JOX65600 JOX131136 JOX196672 JOX262208 JOX327744 JOX393280 JOX458816 JOX524352 JOX589888 JOX655424 JOX720960 JOX786496 JOX852032 JOX917568 JOX983104 JPC61 JPC65600 JPC131136 JPC196672 JPC262208 JPC327744 JPC393280 JPC458816 JPC524352 JPC589888 JPC655424 JPC720960 JPC786496 JPC852032 JPC917568 JPC983104 JPH61 JPH65600 JPH131136 JPH196672 JPH262208 JPH327744 JPH393280 JPH458816 JPH524352 JPH589888 JPH655424 JPH720960 JPH786496 JPH852032 JPH917568 JPH983104 JPM61 JPM65600 JPM131136 JPM196672 JPM262208 JPM327744 JPM393280 JPM458816 JPM524352 JPM589888 JPM655424 JPM720960 JPM786496 JPM852032 JPM917568 JPM983104 JYT61 JYT65600 JYT131136 JYT196672 JYT262208 JYT327744 JYT393280 JYT458816 JYT524352 JYT589888 JYT655424 JYT720960 JYT786496 JYT852032 JYT917568 JYT983104 JYY61 JYY65600 JYY131136 JYY196672 JYY262208 JYY327744 JYY393280 JYY458816 JYY524352 JYY589888 JYY655424 JYY720960 JYY786496 JYY852032 JYY917568 JYY983104 JZD61 JZD65600 JZD131136 JZD196672 JZD262208 JZD327744 JZD393280 JZD458816 JZD524352 JZD589888 JZD655424 JZD720960 JZD786496 JZD852032 JZD917568 JZD983104 JZI61 JZI65600 JZI131136 JZI196672 JZI262208 JZI327744 JZI393280 JZI458816 JZI524352 JZI589888 JZI655424 JZI720960 JZI786496 JZI852032 JZI917568 JZI983104 KIP61 KIP65600 KIP131136 KIP196672 KIP262208 KIP327744 KIP393280 KIP458816 KIP524352 KIP589888 KIP655424 KIP720960 KIP786496 KIP852032 KIP917568 KIP983104 KIU61 KIU65600 KIU131136 KIU196672 KIU262208 KIU327744 KIU393280 KIU458816 KIU524352 KIU589888 KIU655424 KIU720960 KIU786496 KIU852032 KIU917568 KIU983104 KIZ61 KIZ65600 KIZ131136 KIZ196672 KIZ262208 KIZ327744 KIZ393280 KIZ458816 KIZ524352 KIZ589888 KIZ655424 KIZ720960 KIZ786496 KIZ852032 KIZ917568 KIZ983104 KJE61 KJE65600 KJE131136 KJE196672 KJE262208 KJE327744 KJE393280 KJE458816 KJE524352 KJE589888 KJE655424 KJE720960 KJE786496 KJE852032 KJE917568 KJE983104 KSL61 KSL65600 KSL131136 KSL196672 KSL262208 KSL327744 KSL393280 KSL458816 KSL524352 KSL589888 KSL655424 KSL720960 KSL786496 KSL852032 KSL917568 KSL983104 KSQ61 KSQ65600 KSQ131136 KSQ196672 KSQ262208 KSQ327744 KSQ393280 KSQ458816 KSQ524352 KSQ589888 KSQ655424 KSQ720960 KSQ786496 KSQ852032 KSQ917568 KSQ983104 KSV61 KSV65600 KSV131136 KSV196672 KSV262208 KSV327744 KSV393280 KSV458816 KSV524352 KSV589888 KSV655424 KSV720960 KSV786496 KSV852032 KSV917568 KSV983104 KTA61 KTA65600 KTA131136 KTA196672 KTA262208 KTA327744 KTA393280 KTA458816 KTA524352 KTA589888 KTA655424 KTA720960 KTA786496 KTA852032 KTA917568 KTA983104 LCH61 LCH65600 LCH131136 LCH196672 LCH262208 LCH327744 LCH393280 LCH458816 LCH524352 LCH589888 LCH655424 LCH720960 LCH786496 LCH852032 LCH917568 LCH983104 LCM61 LCM65600 LCM131136 LCM196672 LCM262208 LCM327744 LCM393280 LCM458816 LCM524352 LCM589888 LCM655424 LCM720960 LCM786496 LCM852032 LCM917568 LCM983104 LCR61 LCR65600 LCR131136 LCR196672 LCR262208 LCR327744 LCR393280 LCR458816 LCR524352 LCR589888 LCR655424 LCR720960 LCR786496 LCR852032 LCR917568 LCR983104 LCW61 LCW65600 LCW131136 LCW196672 LCW262208 LCW327744 LCW393280 LCW458816 LCW524352 LCW589888 LCW655424 LCW720960 LCW786496 LCW852032 LCW917568 LCW983104 LMD61 LMD65600 LMD131136 LMD196672 LMD262208 LMD327744 LMD393280 LMD458816 LMD524352 LMD589888 LMD655424 LMD720960 LMD786496 LMD852032 LMD917568 LMD983104 LMI61 LMI65600 LMI131136 LMI196672 LMI262208 LMI327744 LMI393280 LMI458816 LMI524352 LMI589888 LMI655424 LMI720960 LMI786496 LMI852032 LMI917568 LMI983104 LMN61 LMN65600 LMN131136 LMN196672 LMN262208 LMN327744 LMN393280 LMN458816 LMN524352 LMN589888 LMN655424 LMN720960 LMN786496 LMN852032 LMN917568 LMN983104 LMS61 LMS65600 LMS131136 LMS196672 LMS262208 LMS327744 LMS393280 LMS458816 LMS524352 LMS589888 LMS655424 LMS720960 LMS786496 LMS852032 LMS917568 LMS983104 LVZ61 LVZ65600 LVZ131136 LVZ196672 LVZ262208 LVZ327744 LVZ393280 LVZ458816 LVZ524352 LVZ589888 LVZ655424 LVZ720960 LVZ786496 LVZ852032 LVZ917568 LVZ983104 LWE61 LWE65600 LWE131136 LWE196672 LWE262208 LWE327744 LWE393280 LWE458816 LWE524352 LWE589888 LWE655424 LWE720960 LWE786496 LWE852032 LWE917568 LWE983104 LWJ61 LWJ65600 LWJ131136 LWJ196672 LWJ262208 LWJ327744 LWJ393280 LWJ458816 LWJ524352 LWJ589888 LWJ655424 LWJ720960 LWJ786496 LWJ852032 LWJ917568 LWJ983104 LWO61 LWO65600 LWO131136 LWO196672 LWO262208 LWO327744 LWO393280 LWO458816 LWO524352 LWO589888 LWO655424 LWO720960 LWO786496 LWO852032 LWO917568 LWO983104 MFV61 MFV65600 MFV131136 MFV196672 MFV262208 MFV327744 MFV393280 MFV458816 MFV524352 MFV589888 MFV655424 MFV720960 MFV786496 MFV852032 MFV917568 MFV983104 MGA61 MGA65600 MGA131136 MGA196672 MGA262208 MGA327744 MGA393280 MGA458816 MGA524352 MGA589888 MGA655424 MGA720960 MGA786496 MGA852032 MGA917568 MGA983104 MGF61 MGF65600 MGF131136 MGF196672 MGF262208 MGF327744 MGF393280 MGF458816 MGF524352 MGF589888 MGF655424 MGF720960 MGF786496 MGF852032 MGF917568 MGF983104 MGK61 MGK65600 MGK131136 MGK196672 MGK262208 MGK327744 MGK393280 MGK458816 MGK524352 MGK589888 MGK655424 MGK720960 MGK786496 MGK852032 MGK917568 MGK983104 MPR61 MPR65600 MPR131136 MPR196672 MPR262208 MPR327744 MPR393280 MPR458816 MPR524352 MPR589888 MPR655424 MPR720960 MPR786496 MPR852032 MPR917568 MPR983104 MPW61 MPW65600 MPW131136 MPW196672 MPW262208 MPW327744 MPW393280 MPW458816 MPW524352 MPW589888 MPW655424 MPW720960 MPW786496 MPW852032 MPW917568 MPW983104 MQB61 MQB65600 MQB131136 MQB196672 MQB262208 MQB327744 MQB393280 MQB458816 MQB524352 MQB589888 MQB655424 MQB720960 MQB786496 MQB852032 MQB917568 MQB983104 MQG61 MQG65600 MQG131136 MQG196672 MQG262208 MQG327744 MQG393280 MQG458816 MQG524352 MQG589888 MQG655424 MQG720960 MQG786496 MQG852032 MQG917568 MQG983104 MZN61 MZN65600 MZN131136 MZN196672 MZN262208 MZN327744 MZN393280 MZN458816 MZN524352 MZN589888 MZN655424 MZN720960 MZN786496 MZN852032 MZN917568 MZN983104 MZS61 MZS65600 MZS131136 MZS196672 MZS262208 MZS327744 MZS393280 MZS458816 MZS524352 MZS589888 MZS655424 MZS720960 MZS786496 MZS852032 MZS917568 MZS983104 MZX61 MZX65600 MZX131136 MZX196672 MZX262208 MZX327744 MZX393280 MZX458816 MZX524352 MZX589888 MZX655424 MZX720960 MZX786496 MZX852032 MZX917568 MZX983104 NAC61 NAC65600 NAC131136 NAC196672 NAC262208 NAC327744 NAC393280 NAC458816 NAC524352 NAC589888 NAC655424 NAC720960 NAC786496 NAC852032 NAC917568 NAC983104 NJJ61 NJJ65600 NJJ131136 NJJ196672 NJJ262208 NJJ327744 NJJ393280 NJJ458816 NJJ524352 NJJ589888 NJJ655424 NJJ720960 NJJ786496 NJJ852032 NJJ917568 NJJ983104 NJO61 NJO65600 NJO131136 NJO196672 NJO262208 NJO327744 NJO393280 NJO458816 NJO524352 NJO589888 NJO655424 NJO720960 NJO786496 NJO852032 NJO917568 NJO983104 NJT61 NJT65600 NJT131136 NJT196672 NJT262208 NJT327744 NJT393280 NJT458816 NJT524352 NJT589888 NJT655424 NJT720960 NJT786496 NJT852032 NJT917568 NJT983104 NJY61 NJY65600 NJY131136 NJY196672 NJY262208 NJY327744 NJY393280 NJY458816 NJY524352 NJY589888 NJY655424 NJY720960 NJY786496 NJY852032 NJY917568 NJY983104 NTF61 NTF65600 NTF131136 NTF196672 NTF262208 NTF327744 NTF393280 NTF458816 NTF524352 NTF589888 NTF655424 NTF720960 NTF786496 NTF852032 NTF917568 NTF983104 NTK61 NTK65600 NTK131136 NTK196672 NTK262208 NTK327744 NTK393280 NTK458816 NTK524352 NTK589888 NTK655424 NTK720960 NTK786496 NTK852032 NTK917568 NTK983104 NTP61 NTP65600 NTP131136 NTP196672 NTP262208 NTP327744 NTP393280 NTP458816 NTP524352 NTP589888 NTP655424 NTP720960 NTP786496 NTP852032 NTP917568 NTP983104 NTU61 NTU65600 NTU131136 NTU196672 NTU262208 NTU327744 NTU393280 NTU458816 NTU524352 NTU589888 NTU655424 NTU720960 NTU786496 NTU852032 NTU917568 NTU983104 ODB61 ODB65600 ODB131136 ODB196672 ODB262208 ODB327744 ODB393280 ODB458816 ODB524352 ODB589888 ODB655424 ODB720960 ODB786496 ODB852032 ODB917568 ODB983104 ODG61 ODG65600 ODG131136 ODG196672 ODG262208 ODG327744 ODG393280 ODG458816 ODG524352 ODG589888 ODG655424 ODG720960 ODG786496 ODG852032 ODG917568 ODG983104 ODL61 ODL65600 ODL131136 ODL196672 ODL262208 ODL327744 ODL393280 ODL458816 ODL524352 ODL589888 ODL655424 ODL720960 ODL786496 ODL852032 ODL917568 ODL983104 ODQ61 ODQ65600 ODQ131136 ODQ196672 ODQ262208 ODQ327744 ODQ393280 ODQ458816 ODQ524352 ODQ589888 ODQ655424 ODQ720960 ODQ786496 ODQ852032 ODQ917568 ODQ983104 OMX61 OMX65600 OMX131136 OMX196672 OMX262208 OMX327744 OMX393280 OMX458816 OMX524352 OMX589888 OMX655424 OMX720960 OMX786496 OMX852032 OMX917568 OMX983104 ONC61 ONC65600 ONC131136 ONC196672 ONC262208 ONC327744 ONC393280 ONC458816 ONC524352 ONC589888 ONC655424 ONC720960 ONC786496 ONC852032 ONC917568 ONC983104 ONH61 ONH65600 ONH131136 ONH196672 ONH262208 ONH327744 ONH393280 ONH458816 ONH524352 ONH589888 ONH655424 ONH720960 ONH786496 ONH852032 ONH917568 ONH983104 ONM61 ONM65600 ONM131136 ONM196672 ONM262208 ONM327744 ONM393280 ONM458816 ONM524352 ONM589888 ONM655424 ONM720960 ONM786496 ONM852032 ONM917568 ONM983104 OWT61 OWT65600 OWT131136 OWT196672 OWT262208 OWT327744 OWT393280 OWT458816 OWT524352 OWT589888 OWT655424 OWT720960 OWT786496 OWT852032 OWT917568 OWT983104 OWY61 OWY65600 OWY131136 OWY196672 OWY262208 OWY327744 OWY393280 OWY458816 OWY524352 OWY589888 OWY655424 OWY720960 OWY786496 OWY852032 OWY917568 OWY983104 OXD61 OXD65600 OXD131136 OXD196672 OXD262208 OXD327744 OXD393280 OXD458816 OXD524352 OXD589888 OXD655424 OXD720960 OXD786496 OXD852032 OXD917568 OXD983104 OXI61 OXI65600 OXI131136 OXI196672 OXI262208 OXI327744 OXI393280 OXI458816 OXI524352 OXI589888 OXI655424 OXI720960 OXI786496 OXI852032 OXI917568 OXI983104 PGP61 PGP65600 PGP131136 PGP196672 PGP262208 PGP327744 PGP393280 PGP458816 PGP524352 PGP589888 PGP655424 PGP720960 PGP786496 PGP852032 PGP917568 PGP983104 PGU61 PGU65600 PGU131136 PGU196672 PGU262208 PGU327744 PGU393280 PGU458816 PGU524352 PGU589888 PGU655424 PGU720960 PGU786496 PGU852032 PGU917568 PGU983104 PGZ61 PGZ65600 PGZ131136 PGZ196672 PGZ262208 PGZ327744 PGZ393280 PGZ458816 PGZ524352 PGZ589888 PGZ655424 PGZ720960 PGZ786496 PGZ852032 PGZ917568 PGZ983104 PHE61 PHE65600 PHE131136 PHE196672 PHE262208 PHE327744 PHE393280 PHE458816 PHE524352 PHE589888 PHE655424 PHE720960 PHE786496 PHE852032 PHE917568 PHE983104 PQL61 PQL65600 PQL131136 PQL196672 PQL262208 PQL327744 PQL393280 PQL458816 PQL524352 PQL589888 PQL655424 PQL720960 PQL786496 PQL852032 PQL917568 PQL983104 PQQ61 PQQ65600 PQQ131136 PQQ196672 PQQ262208 PQQ327744 PQQ393280 PQQ458816 PQQ524352 PQQ589888 PQQ655424 PQQ720960 PQQ786496 PQQ852032 PQQ917568 PQQ983104 PQV61 PQV65600 PQV131136 PQV196672 PQV262208 PQV327744 PQV393280 PQV458816 PQV524352 PQV589888 PQV655424 PQV720960 PQV786496 PQV852032 PQV917568 PQV983104 PRA61 PRA65600 PRA131136 PRA196672 PRA262208 PRA327744 PRA393280 PRA458816 PRA524352 PRA589888 PRA655424 PRA720960 PRA786496 PRA852032 PRA917568 PRA983104 QAH61 QAH65600 QAH131136 QAH196672 QAH262208 QAH327744 QAH393280 QAH458816 QAH524352 QAH589888 QAH655424 QAH720960 QAH786496 QAH852032 QAH917568 QAH983104 QAM61 QAM65600 QAM131136 QAM196672 QAM262208 QAM327744 QAM393280 QAM458816 QAM524352 QAM589888 QAM655424 QAM720960 QAM786496 QAM852032 QAM917568 QAM983104 QAR61 QAR65600 QAR131136 QAR196672 QAR262208 QAR327744 QAR393280 QAR458816 QAR524352 QAR589888 QAR655424 QAR720960 QAR786496 QAR852032 QAR917568 QAR983104 QAW61 QAW65600 QAW131136 QAW196672 QAW262208 QAW327744 QAW393280 QAW458816 QAW524352 QAW589888 QAW655424 QAW720960 QAW786496 QAW852032 QAW917568 QAW983104 QKD61 QKD65600 QKD131136 QKD196672 QKD262208 QKD327744 QKD393280 QKD458816 QKD524352 QKD589888 QKD655424 QKD720960 QKD786496 QKD852032 QKD917568 QKD983104 QKI61 QKI65600 QKI131136 QKI196672 QKI262208 QKI327744 QKI393280 QKI458816 QKI524352 QKI589888 QKI655424 QKI720960 QKI786496 QKI852032 QKI917568 QKI983104 QKN61 QKN65600 QKN131136 QKN196672 QKN262208 QKN327744 QKN393280 QKN458816 QKN524352 QKN589888 QKN655424 QKN720960 QKN786496 QKN852032 QKN917568 QKN983104 QKS61 QKS65600 QKS131136 QKS196672 QKS262208 QKS327744 QKS393280 QKS458816 QKS524352 QKS589888 QKS655424 QKS720960 QKS786496 QKS852032 QKS917568 QKS983104 QTZ61 QTZ65600 QTZ131136 QTZ196672 QTZ262208 QTZ327744 QTZ393280 QTZ458816 QTZ524352 QTZ589888 QTZ655424 QTZ720960 QTZ786496 QTZ852032 QTZ917568 QTZ983104 QUE61 QUE65600 QUE131136 QUE196672 QUE262208 QUE327744 QUE393280 QUE458816 QUE524352 QUE589888 QUE655424 QUE720960 QUE786496 QUE852032 QUE917568 QUE983104 QUJ61 QUJ65600 QUJ131136 QUJ196672 QUJ262208 QUJ327744 QUJ393280 QUJ458816 QUJ524352 QUJ589888 QUJ655424 QUJ720960 QUJ786496 QUJ852032 QUJ917568 QUJ983104 QUO61 QUO65600 QUO131136 QUO196672 QUO262208 QUO327744 QUO393280 QUO458816 QUO524352 QUO589888 QUO655424 QUO720960 QUO786496 QUO852032 QUO917568 QUO983104 RDV61 RDV65600 RDV131136 RDV196672 RDV262208 RDV327744 RDV393280 RDV458816 RDV524352 RDV589888 RDV655424 RDV720960 RDV786496 RDV852032 RDV917568 RDV983104 REA61 REA65600 REA131136 REA196672 REA262208 REA327744 REA393280 REA458816 REA524352 REA589888 REA655424 REA720960 REA786496 REA852032 REA917568 REA983104 REF61 REF65600 REF131136 REF196672 REF262208 REF327744 REF393280 REF458816 REF524352 REF589888 REF655424 REF720960 REF786496 REF852032 REF917568 REF983104 REK61 REK65600 REK131136 REK196672 REK262208 REK327744 REK393280 REK458816 REK524352 REK589888 REK655424 REK720960 REK786496 REK852032 REK917568 REK983104 RNR61 RNR65600 RNR131136 RNR196672 RNR262208 RNR327744 RNR393280 RNR458816 RNR524352 RNR589888 RNR655424 RNR720960 RNR786496 RNR852032 RNR917568 RNR983104 RNW61 RNW65600 RNW131136 RNW196672 RNW262208 RNW327744 RNW393280 RNW458816 RNW524352 RNW589888 RNW655424 RNW720960 RNW786496 RNW852032 RNW917568 RNW983104 ROB61 ROB65600 ROB131136 ROB196672 ROB262208 ROB327744 ROB393280 ROB458816 ROB524352 ROB589888 ROB655424 ROB720960 ROB786496 ROB852032 ROB917568 ROB983104 ROG61 ROG65600 ROG131136 ROG196672 ROG262208 ROG327744 ROG393280 ROG458816 ROG524352 ROG589888 ROG655424 ROG720960 ROG786496 ROG852032 ROG917568 ROG983104 RXN61 RXN65600 RXN131136 RXN196672 RXN262208 RXN327744 RXN393280 RXN458816 RXN524352 RXN589888 RXN655424 RXN720960 RXN786496 RXN852032 RXN917568 RXN983104 RXS61 RXS65600 RXS131136 RXS196672 RXS262208 RXS327744 RXS393280 RXS458816 RXS524352 RXS589888 RXS655424 RXS720960 RXS786496 RXS852032 RXS917568 RXS983104 RXX61 RXX65600 RXX131136 RXX196672 RXX262208 RXX327744 RXX393280 RXX458816 RXX524352 RXX589888 RXX655424 RXX720960 RXX786496 RXX852032 RXX917568 RXX983104 RYC61 RYC65600 RYC131136 RYC196672 RYC262208 RYC327744 RYC393280 RYC458816 RYC524352 RYC589888 RYC655424 RYC720960 RYC786496 RYC852032 RYC917568 RYC983104 SHJ61 SHJ65600 SHJ131136 SHJ196672 SHJ262208 SHJ327744 SHJ393280 SHJ458816 SHJ524352 SHJ589888 SHJ655424 SHJ720960 SHJ786496 SHJ852032 SHJ917568 SHJ983104 SHO61 SHO65600 SHO131136 SHO196672 SHO262208 SHO327744 SHO393280 SHO458816 SHO524352 SHO589888 SHO655424 SHO720960 SHO786496 SHO852032 SHO917568 SHO983104 SHT61 SHT65600 SHT131136 SHT196672 SHT262208 SHT327744 SHT393280 SHT458816 SHT524352 SHT589888 SHT655424 SHT720960 SHT786496 SHT852032 SHT917568 SHT983104 SHY61 SHY65600 SHY131136 SHY196672 SHY262208 SHY327744 SHY393280 SHY458816 SHY524352 SHY589888 SHY655424 SHY720960 SHY786496 SHY852032 SHY917568 SHY983104 SRF61 SRF65600 SRF131136 SRF196672 SRF262208 SRF327744 SRF393280 SRF458816 SRF524352 SRF589888 SRF655424 SRF720960 SRF786496 SRF852032 SRF917568 SRF983104 SRK61 SRK65600 SRK131136 SRK196672 SRK262208 SRK327744 SRK393280 SRK458816 SRK524352 SRK589888 SRK655424 SRK720960 SRK786496 SRK852032 SRK917568 SRK983104 SRP61 SRP65600 SRP131136 SRP196672 SRP262208 SRP327744 SRP393280 SRP458816 SRP524352 SRP589888 SRP655424 SRP720960 SRP786496 SRP852032 SRP917568 SRP983104 SRU61 SRU65600 SRU131136 SRU196672 SRU262208 SRU327744 SRU393280 SRU458816 SRU524352 SRU589888 SRU655424 SRU720960 SRU786496 SRU852032 SRU917568 SRU983104 TBB61 TBB65600 TBB131136 TBB196672 TBB262208 TBB327744 TBB393280 TBB458816 TBB524352 TBB589888 TBB655424 TBB720960 TBB786496 TBB852032 TBB917568 TBB983104 TBG61 TBG65600 TBG131136 TBG196672 TBG262208 TBG327744 TBG393280 TBG458816 TBG524352 TBG589888 TBG655424 TBG720960 TBG786496 TBG852032 TBG917568 TBG983104 TBL61 TBL65600 TBL131136 TBL196672 TBL262208 TBL327744 TBL393280 TBL458816 TBL524352 TBL589888 TBL655424 TBL720960 TBL786496 TBL852032 TBL917568 TBL983104 TBQ61 TBQ65600 TBQ131136 TBQ196672 TBQ262208 TBQ327744 TBQ393280 TBQ458816 TBQ524352 TBQ589888 TBQ655424 TBQ720960 TBQ786496 TBQ852032 TBQ917568 TBQ983104 TKX61 TKX65600 TKX131136 TKX196672 TKX262208 TKX327744 TKX393280 TKX458816 TKX524352 TKX589888 TKX655424 TKX720960 TKX786496 TKX852032 TKX917568 TKX983104 TLC61 TLC65600 TLC131136 TLC196672 TLC262208 TLC327744 TLC393280 TLC458816 TLC524352 TLC589888 TLC655424 TLC720960 TLC786496 TLC852032 TLC917568 TLC983104 TLH61 TLH65600 TLH131136 TLH196672 TLH262208 TLH327744 TLH393280 TLH458816 TLH524352 TLH589888 TLH655424 TLH720960 TLH786496 TLH852032 TLH917568 TLH983104 TLM61 TLM65600 TLM131136 TLM196672 TLM262208 TLM327744 TLM393280 TLM458816 TLM524352 TLM589888 TLM655424 TLM720960 TLM786496 TLM852032 TLM917568 TLM983104 TUT61 TUT65600 TUT131136 TUT196672 TUT262208 TUT327744 TUT393280 TUT458816 TUT524352 TUT589888 TUT655424 TUT720960 TUT786496 TUT852032 TUT917568 TUT983104 TUY61 TUY65600 TUY131136 TUY196672 TUY262208 TUY327744 TUY393280 TUY458816 TUY524352 TUY589888 TUY655424 TUY720960 TUY786496 TUY852032 TUY917568 TUY983104 TVD61 TVD65600 TVD131136 TVD196672 TVD262208 TVD327744 TVD393280 TVD458816 TVD524352 TVD589888 TVD655424 TVD720960 TVD786496 TVD852032 TVD917568 TVD983104 TVI61 TVI65600 TVI131136 TVI196672 TVI262208 TVI327744 TVI393280 TVI458816 TVI524352 TVI589888 TVI655424 TVI720960 TVI786496 TVI852032 TVI917568 TVI983104 UEP61 UEP65600 UEP131136 UEP196672 UEP262208 UEP327744 UEP393280 UEP458816 UEP524352 UEP589888 UEP655424 UEP720960 UEP786496 UEP852032 UEP917568 UEP983104 UEU61 UEU65600 UEU131136 UEU196672 UEU262208 UEU327744 UEU393280 UEU458816 UEU524352 UEU589888 UEU655424 UEU720960 UEU786496 UEU852032 UEU917568 UEU983104 UEZ61 UEZ65600 UEZ131136 UEZ196672 UEZ262208 UEZ327744 UEZ393280 UEZ458816 UEZ524352 UEZ589888 UEZ655424 UEZ720960 UEZ786496 UEZ852032 UEZ917568 UEZ983104 UFE61 UFE65600 UFE131136 UFE196672 UFE262208 UFE327744 UFE393280 UFE458816 UFE524352 UFE589888 UFE655424 UFE720960 UFE786496 UFE852032 UFE917568 UFE983104 UOL61 UOL65600 UOL131136 UOL196672 UOL262208 UOL327744 UOL393280 UOL458816 UOL524352 UOL589888 UOL655424 UOL720960 UOL786496 UOL852032 UOL917568 UOL983104 UOQ61 UOQ65600 UOQ131136 UOQ196672 UOQ262208 UOQ327744 UOQ393280 UOQ458816 UOQ524352 UOQ589888 UOQ655424 UOQ720960 UOQ786496 UOQ852032 UOQ917568 UOQ983104 UOV61 UOV65600 UOV131136 UOV196672 UOV262208 UOV327744 UOV393280 UOV458816 UOV524352 UOV589888 UOV655424 UOV720960 UOV786496 UOV852032 UOV917568 UOV983104 UPA61 UPA65600 UPA131136 UPA196672 UPA262208 UPA327744 UPA393280 UPA458816 UPA524352 UPA589888 UPA655424 UPA720960 UPA786496 UPA852032 UPA917568 UPA983104 UYH61 UYH65600 UYH131136 UYH196672 UYH262208 UYH327744 UYH393280 UYH458816 UYH524352 UYH589888 UYH655424 UYH720960 UYH786496 UYH852032 UYH917568 UYH983104 UYM61 UYM65600 UYM131136 UYM196672 UYM262208 UYM327744 UYM393280 UYM458816 UYM524352 UYM589888 UYM655424 UYM720960 UYM786496 UYM852032 UYM917568 UYM983104 UYR61 UYR65600 UYR131136 UYR196672 UYR262208 UYR327744 UYR393280 UYR458816 UYR524352 UYR589888 UYR655424 UYR720960 UYR786496 UYR852032 UYR917568 UYR983104 UYW61 UYW65600 UYW131136 UYW196672 UYW262208 UYW327744 UYW393280 UYW458816 UYW524352 UYW589888 UYW655424 UYW720960 UYW786496 UYW852032 UYW917568 UYW983104 VID61 VID65600 VID131136 VID196672 VID262208 VID327744 VID393280 VID458816 VID524352 VID589888 VID655424 VID720960 VID786496 VID852032 VID917568 VID983104 VII61 VII65600 VII131136 VII196672 VII262208 VII327744 VII393280 VII458816 VII524352 VII589888 VII655424 VII720960 VII786496 VII852032 VII917568 VII983104 VIN61 VIN65600 VIN131136 VIN196672 VIN262208 VIN327744 VIN393280 VIN458816 VIN524352 VIN589888 VIN655424 VIN720960 VIN786496 VIN852032 VIN917568 VIN983104 VIS61 VIS65600 VIS131136 VIS196672 VIS262208 VIS327744 VIS393280 VIS458816 VIS524352 VIS589888 VIS655424 VIS720960 VIS786496 VIS852032 VIS917568 VIS983104 VRZ61 VRZ65600 VRZ131136 VRZ196672 VRZ262208 VRZ327744 VRZ393280 VRZ458816 VRZ524352 VRZ589888 VRZ655424 VRZ720960 VRZ786496 VRZ852032 VRZ917568 VRZ983104 VSE61 VSE65600 VSE131136 VSE196672 VSE262208 VSE327744 VSE393280 VSE458816 VSE524352 VSE589888 VSE655424 VSE720960 VSE786496 VSE852032 VSE917568 VSE983104 VSJ61 VSJ65600 VSJ131136 VSJ196672 VSJ262208 VSJ327744 VSJ393280 VSJ458816 VSJ524352 VSJ589888 VSJ655424 VSJ720960 VSJ786496 VSJ852032 VSJ917568 VSJ983104 VSO61 VSO65600 VSO131136 VSO196672 VSO262208 VSO327744 VSO393280 VSO458816 VSO524352 VSO589888 VSO655424 VSO720960 VSO786496 VSO852032 VSO917568 VSO983104 WBV61 WBV65600 WBV131136 WBV196672 WBV262208 WBV327744 WBV393280 WBV458816 WBV524352 WBV589888 WBV655424 WBV720960 WBV786496 WBV852032 WBV917568 WBV983104 WCA61 WCA65600 WCA131136 WCA196672 WCA262208 WCA327744 WCA393280 WCA458816 WCA524352 WCA589888 WCA655424 WCA720960 WCA786496 WCA852032 WCA917568 WCA983104 WCF61 WCF65600 WCF131136 WCF196672 WCF262208 WCF327744 WCF393280 WCF458816 WCF524352 WCF589888 WCF655424 WCF720960 WCF786496 WCF852032 WCF917568 WCF983104 WCK61 WCK65600 WCK131136 WCK196672 WCK262208 WCK327744 WCK393280 WCK458816 WCK524352 WCK589888 WCK655424 WCK720960 WCK786496 WCK852032 WCK917568 WCK983104 WLR61 WLR65600 WLR131136 WLR196672 WLR262208 WLR327744 WLR393280 WLR458816 WLR524352 WLR589888 WLR655424 WLR720960 WLR786496 WLR852032 WLR917568 WLR983104 WLW61 WLW65600 WLW131136 WLW196672 WLW262208 WLW327744 WLW393280 WLW458816 WLW524352 WLW589888 WLW655424 WLW720960 WLW786496 WLW852032 WLW917568 WLW983104 WMB61 WMB65600 WMB131136 WMB196672 WMB262208 WMB327744 WMB393280 WMB458816 WMB524352 WMB589888 WMB655424 WMB720960 WMB786496 WMB852032 WMB917568 WMB983104 WMG61 WMG65600 WMG131136 WMG196672 WMG262208 WMG327744 WMG393280 WMG458816 WMG524352 WMG589888 WMG655424 WMG720960 WMG786496 WMG852032 WMG917568 WMG983104 WVN61 WVN65600 WVN131136 WVN196672 WVN262208 WVN327744 WVN393280 WVN458816 WVN524352 WVN589888 WVN655424 WVN720960 WVN786496 WVN852032 WVN917568 WVN983104 WVS61 WVS65600 WVS131136 WVS196672 WVS262208 WVS327744 WVS393280 WVS458816 WVS524352 WVS589888 WVS655424 WVS720960 WVS786496 WVS852032 WVS917568 WVS983104 WVX61 WVX65600 WVX131136 WVX196672 WVX262208 WVX327744 WVX393280 WVX458816 WVX524352 WVX589888 WVX655424 WVX720960 WVX786496 WVX852032 WVX917568 WVX983104 WWC61 WWC65600 WWC131136 WWC196672 WWC262208 WWC327744 WWC393280 WWC458816 WWC524352 WWC589888 WWC655424 WWC720960 WWC786496 WWC852032 WWC917568 WWC983104" xr:uid="{00000000-0002-0000-0C00-000001000000}"/>
    <dataValidation type="list" allowBlank="1" showInputMessage="1" showErrorMessage="1" sqref="O62:P62 O113:P113" xr:uid="{00000000-0002-0000-0C00-000002000000}">
      <formula1>工事届用主要用途</formula1>
    </dataValidation>
    <dataValidation type="list" allowBlank="1" showInputMessage="1" showErrorMessage="1" sqref="O63:P64 O114:P115" xr:uid="{00000000-0002-0000-0C00-000003000000}">
      <formula1>工事届用主要用途2</formula1>
    </dataValidation>
  </dataValidations>
  <printOptions horizontalCentered="1"/>
  <pageMargins left="0.78740157480314965" right="0.78740157480314965" top="0.51181102362204722" bottom="0.51181102362204722" header="0.51181102362204722" footer="0.51181102362204722"/>
  <pageSetup paperSize="9" scale="99" fitToHeight="4" orientation="portrait" blackAndWhite="1" horizontalDpi="300" verticalDpi="300" r:id="rId1"/>
  <rowBreaks count="3" manualBreakCount="3">
    <brk id="43" max="27" man="1"/>
    <brk id="96" max="27" man="1"/>
    <brk id="111" max="27" man="1"/>
  </rowBreaks>
  <legacy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C00-000004000000}">
          <x14:formula1>
            <xm:f>"　,○"</xm:f>
          </x14:formula1>
          <xm:sqref>SRG983143 JD68:JD69 SZ68:SZ69 ACV68:ACV69 AMR68:AMR69 AWN68:AWN69 BGJ68:BGJ69 BQF68:BQF69 CAB68:CAB69 CJX68:CJX69 CTT68:CTT69 DDP68:DDP69 DNL68:DNL69 DXH68:DXH69 EHD68:EHD69 EQZ68:EQZ69 FAV68:FAV69 FKR68:FKR69 FUN68:FUN69 GEJ68:GEJ69 GOF68:GOF69 GYB68:GYB69 HHX68:HHX69 HRT68:HRT69 IBP68:IBP69 ILL68:ILL69 IVH68:IVH69 JFD68:JFD69 JOZ68:JOZ69 JYV68:JYV69 KIR68:KIR69 KSN68:KSN69 LCJ68:LCJ69 LMF68:LMF69 LWB68:LWB69 MFX68:MFX69 MPT68:MPT69 MZP68:MZP69 NJL68:NJL69 NTH68:NTH69 ODD68:ODD69 OMZ68:OMZ69 OWV68:OWV69 PGR68:PGR69 PQN68:PQN69 QAJ68:QAJ69 QKF68:QKF69 QUB68:QUB69 RDX68:RDX69 RNT68:RNT69 RXP68:RXP69 SHL68:SHL69 SRH68:SRH69 TBD68:TBD69 TKZ68:TKZ69 TUV68:TUV69 UER68:UER69 UON68:UON69 UYJ68:UYJ69 VIF68:VIF69 VSB68:VSB69 WBX68:WBX69 WLT68:WLT69 WVP68:WVP69 H65607:H65608 JD65607:JD65608 SZ65607:SZ65608 ACV65607:ACV65608 AMR65607:AMR65608 AWN65607:AWN65608 BGJ65607:BGJ65608 BQF65607:BQF65608 CAB65607:CAB65608 CJX65607:CJX65608 CTT65607:CTT65608 DDP65607:DDP65608 DNL65607:DNL65608 DXH65607:DXH65608 EHD65607:EHD65608 EQZ65607:EQZ65608 FAV65607:FAV65608 FKR65607:FKR65608 FUN65607:FUN65608 GEJ65607:GEJ65608 GOF65607:GOF65608 GYB65607:GYB65608 HHX65607:HHX65608 HRT65607:HRT65608 IBP65607:IBP65608 ILL65607:ILL65608 IVH65607:IVH65608 JFD65607:JFD65608 JOZ65607:JOZ65608 JYV65607:JYV65608 KIR65607:KIR65608 KSN65607:KSN65608 LCJ65607:LCJ65608 LMF65607:LMF65608 LWB65607:LWB65608 MFX65607:MFX65608 MPT65607:MPT65608 MZP65607:MZP65608 NJL65607:NJL65608 NTH65607:NTH65608 ODD65607:ODD65608 OMZ65607:OMZ65608 OWV65607:OWV65608 PGR65607:PGR65608 PQN65607:PQN65608 QAJ65607:QAJ65608 QKF65607:QKF65608 QUB65607:QUB65608 RDX65607:RDX65608 RNT65607:RNT65608 RXP65607:RXP65608 SHL65607:SHL65608 SRH65607:SRH65608 TBD65607:TBD65608 TKZ65607:TKZ65608 TUV65607:TUV65608 UER65607:UER65608 UON65607:UON65608 UYJ65607:UYJ65608 VIF65607:VIF65608 VSB65607:VSB65608 WBX65607:WBX65608 WLT65607:WLT65608 WVP65607:WVP65608 H131143:H131144 JD131143:JD131144 SZ131143:SZ131144 ACV131143:ACV131144 AMR131143:AMR131144 AWN131143:AWN131144 BGJ131143:BGJ131144 BQF131143:BQF131144 CAB131143:CAB131144 CJX131143:CJX131144 CTT131143:CTT131144 DDP131143:DDP131144 DNL131143:DNL131144 DXH131143:DXH131144 EHD131143:EHD131144 EQZ131143:EQZ131144 FAV131143:FAV131144 FKR131143:FKR131144 FUN131143:FUN131144 GEJ131143:GEJ131144 GOF131143:GOF131144 GYB131143:GYB131144 HHX131143:HHX131144 HRT131143:HRT131144 IBP131143:IBP131144 ILL131143:ILL131144 IVH131143:IVH131144 JFD131143:JFD131144 JOZ131143:JOZ131144 JYV131143:JYV131144 KIR131143:KIR131144 KSN131143:KSN131144 LCJ131143:LCJ131144 LMF131143:LMF131144 LWB131143:LWB131144 MFX131143:MFX131144 MPT131143:MPT131144 MZP131143:MZP131144 NJL131143:NJL131144 NTH131143:NTH131144 ODD131143:ODD131144 OMZ131143:OMZ131144 OWV131143:OWV131144 PGR131143:PGR131144 PQN131143:PQN131144 QAJ131143:QAJ131144 QKF131143:QKF131144 QUB131143:QUB131144 RDX131143:RDX131144 RNT131143:RNT131144 RXP131143:RXP131144 SHL131143:SHL131144 SRH131143:SRH131144 TBD131143:TBD131144 TKZ131143:TKZ131144 TUV131143:TUV131144 UER131143:UER131144 UON131143:UON131144 UYJ131143:UYJ131144 VIF131143:VIF131144 VSB131143:VSB131144 WBX131143:WBX131144 WLT131143:WLT131144 WVP131143:WVP131144 H196679:H196680 JD196679:JD196680 SZ196679:SZ196680 ACV196679:ACV196680 AMR196679:AMR196680 AWN196679:AWN196680 BGJ196679:BGJ196680 BQF196679:BQF196680 CAB196679:CAB196680 CJX196679:CJX196680 CTT196679:CTT196680 DDP196679:DDP196680 DNL196679:DNL196680 DXH196679:DXH196680 EHD196679:EHD196680 EQZ196679:EQZ196680 FAV196679:FAV196680 FKR196679:FKR196680 FUN196679:FUN196680 GEJ196679:GEJ196680 GOF196679:GOF196680 GYB196679:GYB196680 HHX196679:HHX196680 HRT196679:HRT196680 IBP196679:IBP196680 ILL196679:ILL196680 IVH196679:IVH196680 JFD196679:JFD196680 JOZ196679:JOZ196680 JYV196679:JYV196680 KIR196679:KIR196680 KSN196679:KSN196680 LCJ196679:LCJ196680 LMF196679:LMF196680 LWB196679:LWB196680 MFX196679:MFX196680 MPT196679:MPT196680 MZP196679:MZP196680 NJL196679:NJL196680 NTH196679:NTH196680 ODD196679:ODD196680 OMZ196679:OMZ196680 OWV196679:OWV196680 PGR196679:PGR196680 PQN196679:PQN196680 QAJ196679:QAJ196680 QKF196679:QKF196680 QUB196679:QUB196680 RDX196679:RDX196680 RNT196679:RNT196680 RXP196679:RXP196680 SHL196679:SHL196680 SRH196679:SRH196680 TBD196679:TBD196680 TKZ196679:TKZ196680 TUV196679:TUV196680 UER196679:UER196680 UON196679:UON196680 UYJ196679:UYJ196680 VIF196679:VIF196680 VSB196679:VSB196680 WBX196679:WBX196680 WLT196679:WLT196680 WVP196679:WVP196680 H262215:H262216 JD262215:JD262216 SZ262215:SZ262216 ACV262215:ACV262216 AMR262215:AMR262216 AWN262215:AWN262216 BGJ262215:BGJ262216 BQF262215:BQF262216 CAB262215:CAB262216 CJX262215:CJX262216 CTT262215:CTT262216 DDP262215:DDP262216 DNL262215:DNL262216 DXH262215:DXH262216 EHD262215:EHD262216 EQZ262215:EQZ262216 FAV262215:FAV262216 FKR262215:FKR262216 FUN262215:FUN262216 GEJ262215:GEJ262216 GOF262215:GOF262216 GYB262215:GYB262216 HHX262215:HHX262216 HRT262215:HRT262216 IBP262215:IBP262216 ILL262215:ILL262216 IVH262215:IVH262216 JFD262215:JFD262216 JOZ262215:JOZ262216 JYV262215:JYV262216 KIR262215:KIR262216 KSN262215:KSN262216 LCJ262215:LCJ262216 LMF262215:LMF262216 LWB262215:LWB262216 MFX262215:MFX262216 MPT262215:MPT262216 MZP262215:MZP262216 NJL262215:NJL262216 NTH262215:NTH262216 ODD262215:ODD262216 OMZ262215:OMZ262216 OWV262215:OWV262216 PGR262215:PGR262216 PQN262215:PQN262216 QAJ262215:QAJ262216 QKF262215:QKF262216 QUB262215:QUB262216 RDX262215:RDX262216 RNT262215:RNT262216 RXP262215:RXP262216 SHL262215:SHL262216 SRH262215:SRH262216 TBD262215:TBD262216 TKZ262215:TKZ262216 TUV262215:TUV262216 UER262215:UER262216 UON262215:UON262216 UYJ262215:UYJ262216 VIF262215:VIF262216 VSB262215:VSB262216 WBX262215:WBX262216 WLT262215:WLT262216 WVP262215:WVP262216 H327751:H327752 JD327751:JD327752 SZ327751:SZ327752 ACV327751:ACV327752 AMR327751:AMR327752 AWN327751:AWN327752 BGJ327751:BGJ327752 BQF327751:BQF327752 CAB327751:CAB327752 CJX327751:CJX327752 CTT327751:CTT327752 DDP327751:DDP327752 DNL327751:DNL327752 DXH327751:DXH327752 EHD327751:EHD327752 EQZ327751:EQZ327752 FAV327751:FAV327752 FKR327751:FKR327752 FUN327751:FUN327752 GEJ327751:GEJ327752 GOF327751:GOF327752 GYB327751:GYB327752 HHX327751:HHX327752 HRT327751:HRT327752 IBP327751:IBP327752 ILL327751:ILL327752 IVH327751:IVH327752 JFD327751:JFD327752 JOZ327751:JOZ327752 JYV327751:JYV327752 KIR327751:KIR327752 KSN327751:KSN327752 LCJ327751:LCJ327752 LMF327751:LMF327752 LWB327751:LWB327752 MFX327751:MFX327752 MPT327751:MPT327752 MZP327751:MZP327752 NJL327751:NJL327752 NTH327751:NTH327752 ODD327751:ODD327752 OMZ327751:OMZ327752 OWV327751:OWV327752 PGR327751:PGR327752 PQN327751:PQN327752 QAJ327751:QAJ327752 QKF327751:QKF327752 QUB327751:QUB327752 RDX327751:RDX327752 RNT327751:RNT327752 RXP327751:RXP327752 SHL327751:SHL327752 SRH327751:SRH327752 TBD327751:TBD327752 TKZ327751:TKZ327752 TUV327751:TUV327752 UER327751:UER327752 UON327751:UON327752 UYJ327751:UYJ327752 VIF327751:VIF327752 VSB327751:VSB327752 WBX327751:WBX327752 WLT327751:WLT327752 WVP327751:WVP327752 H393287:H393288 JD393287:JD393288 SZ393287:SZ393288 ACV393287:ACV393288 AMR393287:AMR393288 AWN393287:AWN393288 BGJ393287:BGJ393288 BQF393287:BQF393288 CAB393287:CAB393288 CJX393287:CJX393288 CTT393287:CTT393288 DDP393287:DDP393288 DNL393287:DNL393288 DXH393287:DXH393288 EHD393287:EHD393288 EQZ393287:EQZ393288 FAV393287:FAV393288 FKR393287:FKR393288 FUN393287:FUN393288 GEJ393287:GEJ393288 GOF393287:GOF393288 GYB393287:GYB393288 HHX393287:HHX393288 HRT393287:HRT393288 IBP393287:IBP393288 ILL393287:ILL393288 IVH393287:IVH393288 JFD393287:JFD393288 JOZ393287:JOZ393288 JYV393287:JYV393288 KIR393287:KIR393288 KSN393287:KSN393288 LCJ393287:LCJ393288 LMF393287:LMF393288 LWB393287:LWB393288 MFX393287:MFX393288 MPT393287:MPT393288 MZP393287:MZP393288 NJL393287:NJL393288 NTH393287:NTH393288 ODD393287:ODD393288 OMZ393287:OMZ393288 OWV393287:OWV393288 PGR393287:PGR393288 PQN393287:PQN393288 QAJ393287:QAJ393288 QKF393287:QKF393288 QUB393287:QUB393288 RDX393287:RDX393288 RNT393287:RNT393288 RXP393287:RXP393288 SHL393287:SHL393288 SRH393287:SRH393288 TBD393287:TBD393288 TKZ393287:TKZ393288 TUV393287:TUV393288 UER393287:UER393288 UON393287:UON393288 UYJ393287:UYJ393288 VIF393287:VIF393288 VSB393287:VSB393288 WBX393287:WBX393288 WLT393287:WLT393288 WVP393287:WVP393288 H458823:H458824 JD458823:JD458824 SZ458823:SZ458824 ACV458823:ACV458824 AMR458823:AMR458824 AWN458823:AWN458824 BGJ458823:BGJ458824 BQF458823:BQF458824 CAB458823:CAB458824 CJX458823:CJX458824 CTT458823:CTT458824 DDP458823:DDP458824 DNL458823:DNL458824 DXH458823:DXH458824 EHD458823:EHD458824 EQZ458823:EQZ458824 FAV458823:FAV458824 FKR458823:FKR458824 FUN458823:FUN458824 GEJ458823:GEJ458824 GOF458823:GOF458824 GYB458823:GYB458824 HHX458823:HHX458824 HRT458823:HRT458824 IBP458823:IBP458824 ILL458823:ILL458824 IVH458823:IVH458824 JFD458823:JFD458824 JOZ458823:JOZ458824 JYV458823:JYV458824 KIR458823:KIR458824 KSN458823:KSN458824 LCJ458823:LCJ458824 LMF458823:LMF458824 LWB458823:LWB458824 MFX458823:MFX458824 MPT458823:MPT458824 MZP458823:MZP458824 NJL458823:NJL458824 NTH458823:NTH458824 ODD458823:ODD458824 OMZ458823:OMZ458824 OWV458823:OWV458824 PGR458823:PGR458824 PQN458823:PQN458824 QAJ458823:QAJ458824 QKF458823:QKF458824 QUB458823:QUB458824 RDX458823:RDX458824 RNT458823:RNT458824 RXP458823:RXP458824 SHL458823:SHL458824 SRH458823:SRH458824 TBD458823:TBD458824 TKZ458823:TKZ458824 TUV458823:TUV458824 UER458823:UER458824 UON458823:UON458824 UYJ458823:UYJ458824 VIF458823:VIF458824 VSB458823:VSB458824 WBX458823:WBX458824 WLT458823:WLT458824 WVP458823:WVP458824 H524359:H524360 JD524359:JD524360 SZ524359:SZ524360 ACV524359:ACV524360 AMR524359:AMR524360 AWN524359:AWN524360 BGJ524359:BGJ524360 BQF524359:BQF524360 CAB524359:CAB524360 CJX524359:CJX524360 CTT524359:CTT524360 DDP524359:DDP524360 DNL524359:DNL524360 DXH524359:DXH524360 EHD524359:EHD524360 EQZ524359:EQZ524360 FAV524359:FAV524360 FKR524359:FKR524360 FUN524359:FUN524360 GEJ524359:GEJ524360 GOF524359:GOF524360 GYB524359:GYB524360 HHX524359:HHX524360 HRT524359:HRT524360 IBP524359:IBP524360 ILL524359:ILL524360 IVH524359:IVH524360 JFD524359:JFD524360 JOZ524359:JOZ524360 JYV524359:JYV524360 KIR524359:KIR524360 KSN524359:KSN524360 LCJ524359:LCJ524360 LMF524359:LMF524360 LWB524359:LWB524360 MFX524359:MFX524360 MPT524359:MPT524360 MZP524359:MZP524360 NJL524359:NJL524360 NTH524359:NTH524360 ODD524359:ODD524360 OMZ524359:OMZ524360 OWV524359:OWV524360 PGR524359:PGR524360 PQN524359:PQN524360 QAJ524359:QAJ524360 QKF524359:QKF524360 QUB524359:QUB524360 RDX524359:RDX524360 RNT524359:RNT524360 RXP524359:RXP524360 SHL524359:SHL524360 SRH524359:SRH524360 TBD524359:TBD524360 TKZ524359:TKZ524360 TUV524359:TUV524360 UER524359:UER524360 UON524359:UON524360 UYJ524359:UYJ524360 VIF524359:VIF524360 VSB524359:VSB524360 WBX524359:WBX524360 WLT524359:WLT524360 WVP524359:WVP524360 H589895:H589896 JD589895:JD589896 SZ589895:SZ589896 ACV589895:ACV589896 AMR589895:AMR589896 AWN589895:AWN589896 BGJ589895:BGJ589896 BQF589895:BQF589896 CAB589895:CAB589896 CJX589895:CJX589896 CTT589895:CTT589896 DDP589895:DDP589896 DNL589895:DNL589896 DXH589895:DXH589896 EHD589895:EHD589896 EQZ589895:EQZ589896 FAV589895:FAV589896 FKR589895:FKR589896 FUN589895:FUN589896 GEJ589895:GEJ589896 GOF589895:GOF589896 GYB589895:GYB589896 HHX589895:HHX589896 HRT589895:HRT589896 IBP589895:IBP589896 ILL589895:ILL589896 IVH589895:IVH589896 JFD589895:JFD589896 JOZ589895:JOZ589896 JYV589895:JYV589896 KIR589895:KIR589896 KSN589895:KSN589896 LCJ589895:LCJ589896 LMF589895:LMF589896 LWB589895:LWB589896 MFX589895:MFX589896 MPT589895:MPT589896 MZP589895:MZP589896 NJL589895:NJL589896 NTH589895:NTH589896 ODD589895:ODD589896 OMZ589895:OMZ589896 OWV589895:OWV589896 PGR589895:PGR589896 PQN589895:PQN589896 QAJ589895:QAJ589896 QKF589895:QKF589896 QUB589895:QUB589896 RDX589895:RDX589896 RNT589895:RNT589896 RXP589895:RXP589896 SHL589895:SHL589896 SRH589895:SRH589896 TBD589895:TBD589896 TKZ589895:TKZ589896 TUV589895:TUV589896 UER589895:UER589896 UON589895:UON589896 UYJ589895:UYJ589896 VIF589895:VIF589896 VSB589895:VSB589896 WBX589895:WBX589896 WLT589895:WLT589896 WVP589895:WVP589896 H655431:H655432 JD655431:JD655432 SZ655431:SZ655432 ACV655431:ACV655432 AMR655431:AMR655432 AWN655431:AWN655432 BGJ655431:BGJ655432 BQF655431:BQF655432 CAB655431:CAB655432 CJX655431:CJX655432 CTT655431:CTT655432 DDP655431:DDP655432 DNL655431:DNL655432 DXH655431:DXH655432 EHD655431:EHD655432 EQZ655431:EQZ655432 FAV655431:FAV655432 FKR655431:FKR655432 FUN655431:FUN655432 GEJ655431:GEJ655432 GOF655431:GOF655432 GYB655431:GYB655432 HHX655431:HHX655432 HRT655431:HRT655432 IBP655431:IBP655432 ILL655431:ILL655432 IVH655431:IVH655432 JFD655431:JFD655432 JOZ655431:JOZ655432 JYV655431:JYV655432 KIR655431:KIR655432 KSN655431:KSN655432 LCJ655431:LCJ655432 LMF655431:LMF655432 LWB655431:LWB655432 MFX655431:MFX655432 MPT655431:MPT655432 MZP655431:MZP655432 NJL655431:NJL655432 NTH655431:NTH655432 ODD655431:ODD655432 OMZ655431:OMZ655432 OWV655431:OWV655432 PGR655431:PGR655432 PQN655431:PQN655432 QAJ655431:QAJ655432 QKF655431:QKF655432 QUB655431:QUB655432 RDX655431:RDX655432 RNT655431:RNT655432 RXP655431:RXP655432 SHL655431:SHL655432 SRH655431:SRH655432 TBD655431:TBD655432 TKZ655431:TKZ655432 TUV655431:TUV655432 UER655431:UER655432 UON655431:UON655432 UYJ655431:UYJ655432 VIF655431:VIF655432 VSB655431:VSB655432 WBX655431:WBX655432 WLT655431:WLT655432 WVP655431:WVP655432 H720967:H720968 JD720967:JD720968 SZ720967:SZ720968 ACV720967:ACV720968 AMR720967:AMR720968 AWN720967:AWN720968 BGJ720967:BGJ720968 BQF720967:BQF720968 CAB720967:CAB720968 CJX720967:CJX720968 CTT720967:CTT720968 DDP720967:DDP720968 DNL720967:DNL720968 DXH720967:DXH720968 EHD720967:EHD720968 EQZ720967:EQZ720968 FAV720967:FAV720968 FKR720967:FKR720968 FUN720967:FUN720968 GEJ720967:GEJ720968 GOF720967:GOF720968 GYB720967:GYB720968 HHX720967:HHX720968 HRT720967:HRT720968 IBP720967:IBP720968 ILL720967:ILL720968 IVH720967:IVH720968 JFD720967:JFD720968 JOZ720967:JOZ720968 JYV720967:JYV720968 KIR720967:KIR720968 KSN720967:KSN720968 LCJ720967:LCJ720968 LMF720967:LMF720968 LWB720967:LWB720968 MFX720967:MFX720968 MPT720967:MPT720968 MZP720967:MZP720968 NJL720967:NJL720968 NTH720967:NTH720968 ODD720967:ODD720968 OMZ720967:OMZ720968 OWV720967:OWV720968 PGR720967:PGR720968 PQN720967:PQN720968 QAJ720967:QAJ720968 QKF720967:QKF720968 QUB720967:QUB720968 RDX720967:RDX720968 RNT720967:RNT720968 RXP720967:RXP720968 SHL720967:SHL720968 SRH720967:SRH720968 TBD720967:TBD720968 TKZ720967:TKZ720968 TUV720967:TUV720968 UER720967:UER720968 UON720967:UON720968 UYJ720967:UYJ720968 VIF720967:VIF720968 VSB720967:VSB720968 WBX720967:WBX720968 WLT720967:WLT720968 WVP720967:WVP720968 H786503:H786504 JD786503:JD786504 SZ786503:SZ786504 ACV786503:ACV786504 AMR786503:AMR786504 AWN786503:AWN786504 BGJ786503:BGJ786504 BQF786503:BQF786504 CAB786503:CAB786504 CJX786503:CJX786504 CTT786503:CTT786504 DDP786503:DDP786504 DNL786503:DNL786504 DXH786503:DXH786504 EHD786503:EHD786504 EQZ786503:EQZ786504 FAV786503:FAV786504 FKR786503:FKR786504 FUN786503:FUN786504 GEJ786503:GEJ786504 GOF786503:GOF786504 GYB786503:GYB786504 HHX786503:HHX786504 HRT786503:HRT786504 IBP786503:IBP786504 ILL786503:ILL786504 IVH786503:IVH786504 JFD786503:JFD786504 JOZ786503:JOZ786504 JYV786503:JYV786504 KIR786503:KIR786504 KSN786503:KSN786504 LCJ786503:LCJ786504 LMF786503:LMF786504 LWB786503:LWB786504 MFX786503:MFX786504 MPT786503:MPT786504 MZP786503:MZP786504 NJL786503:NJL786504 NTH786503:NTH786504 ODD786503:ODD786504 OMZ786503:OMZ786504 OWV786503:OWV786504 PGR786503:PGR786504 PQN786503:PQN786504 QAJ786503:QAJ786504 QKF786503:QKF786504 QUB786503:QUB786504 RDX786503:RDX786504 RNT786503:RNT786504 RXP786503:RXP786504 SHL786503:SHL786504 SRH786503:SRH786504 TBD786503:TBD786504 TKZ786503:TKZ786504 TUV786503:TUV786504 UER786503:UER786504 UON786503:UON786504 UYJ786503:UYJ786504 VIF786503:VIF786504 VSB786503:VSB786504 WBX786503:WBX786504 WLT786503:WLT786504 WVP786503:WVP786504 H852039:H852040 JD852039:JD852040 SZ852039:SZ852040 ACV852039:ACV852040 AMR852039:AMR852040 AWN852039:AWN852040 BGJ852039:BGJ852040 BQF852039:BQF852040 CAB852039:CAB852040 CJX852039:CJX852040 CTT852039:CTT852040 DDP852039:DDP852040 DNL852039:DNL852040 DXH852039:DXH852040 EHD852039:EHD852040 EQZ852039:EQZ852040 FAV852039:FAV852040 FKR852039:FKR852040 FUN852039:FUN852040 GEJ852039:GEJ852040 GOF852039:GOF852040 GYB852039:GYB852040 HHX852039:HHX852040 HRT852039:HRT852040 IBP852039:IBP852040 ILL852039:ILL852040 IVH852039:IVH852040 JFD852039:JFD852040 JOZ852039:JOZ852040 JYV852039:JYV852040 KIR852039:KIR852040 KSN852039:KSN852040 LCJ852039:LCJ852040 LMF852039:LMF852040 LWB852039:LWB852040 MFX852039:MFX852040 MPT852039:MPT852040 MZP852039:MZP852040 NJL852039:NJL852040 NTH852039:NTH852040 ODD852039:ODD852040 OMZ852039:OMZ852040 OWV852039:OWV852040 PGR852039:PGR852040 PQN852039:PQN852040 QAJ852039:QAJ852040 QKF852039:QKF852040 QUB852039:QUB852040 RDX852039:RDX852040 RNT852039:RNT852040 RXP852039:RXP852040 SHL852039:SHL852040 SRH852039:SRH852040 TBD852039:TBD852040 TKZ852039:TKZ852040 TUV852039:TUV852040 UER852039:UER852040 UON852039:UON852040 UYJ852039:UYJ852040 VIF852039:VIF852040 VSB852039:VSB852040 WBX852039:WBX852040 WLT852039:WLT852040 WVP852039:WVP852040 H917575:H917576 JD917575:JD917576 SZ917575:SZ917576 ACV917575:ACV917576 AMR917575:AMR917576 AWN917575:AWN917576 BGJ917575:BGJ917576 BQF917575:BQF917576 CAB917575:CAB917576 CJX917575:CJX917576 CTT917575:CTT917576 DDP917575:DDP917576 DNL917575:DNL917576 DXH917575:DXH917576 EHD917575:EHD917576 EQZ917575:EQZ917576 FAV917575:FAV917576 FKR917575:FKR917576 FUN917575:FUN917576 GEJ917575:GEJ917576 GOF917575:GOF917576 GYB917575:GYB917576 HHX917575:HHX917576 HRT917575:HRT917576 IBP917575:IBP917576 ILL917575:ILL917576 IVH917575:IVH917576 JFD917575:JFD917576 JOZ917575:JOZ917576 JYV917575:JYV917576 KIR917575:KIR917576 KSN917575:KSN917576 LCJ917575:LCJ917576 LMF917575:LMF917576 LWB917575:LWB917576 MFX917575:MFX917576 MPT917575:MPT917576 MZP917575:MZP917576 NJL917575:NJL917576 NTH917575:NTH917576 ODD917575:ODD917576 OMZ917575:OMZ917576 OWV917575:OWV917576 PGR917575:PGR917576 PQN917575:PQN917576 QAJ917575:QAJ917576 QKF917575:QKF917576 QUB917575:QUB917576 RDX917575:RDX917576 RNT917575:RNT917576 RXP917575:RXP917576 SHL917575:SHL917576 SRH917575:SRH917576 TBD917575:TBD917576 TKZ917575:TKZ917576 TUV917575:TUV917576 UER917575:UER917576 UON917575:UON917576 UYJ917575:UYJ917576 VIF917575:VIF917576 VSB917575:VSB917576 WBX917575:WBX917576 WLT917575:WLT917576 WVP917575:WVP917576 H983111:H983112 JD983111:JD983112 SZ983111:SZ983112 ACV983111:ACV983112 AMR983111:AMR983112 AWN983111:AWN983112 BGJ983111:BGJ983112 BQF983111:BQF983112 CAB983111:CAB983112 CJX983111:CJX983112 CTT983111:CTT983112 DDP983111:DDP983112 DNL983111:DNL983112 DXH983111:DXH983112 EHD983111:EHD983112 EQZ983111:EQZ983112 FAV983111:FAV983112 FKR983111:FKR983112 FUN983111:FUN983112 GEJ983111:GEJ983112 GOF983111:GOF983112 GYB983111:GYB983112 HHX983111:HHX983112 HRT983111:HRT983112 IBP983111:IBP983112 ILL983111:ILL983112 IVH983111:IVH983112 JFD983111:JFD983112 JOZ983111:JOZ983112 JYV983111:JYV983112 KIR983111:KIR983112 KSN983111:KSN983112 LCJ983111:LCJ983112 LMF983111:LMF983112 LWB983111:LWB983112 MFX983111:MFX983112 MPT983111:MPT983112 MZP983111:MZP983112 NJL983111:NJL983112 NTH983111:NTH983112 ODD983111:ODD983112 OMZ983111:OMZ983112 OWV983111:OWV983112 PGR983111:PGR983112 PQN983111:PQN983112 QAJ983111:QAJ983112 QKF983111:QKF983112 QUB983111:QUB983112 RDX983111:RDX983112 RNT983111:RNT983112 RXP983111:RXP983112 SHL983111:SHL983112 SRH983111:SRH983112 TBD983111:TBD983112 TKZ983111:TKZ983112 TUV983111:TUV983112 UER983111:UER983112 UON983111:UON983112 UYJ983111:UYJ983112 VIF983111:VIF983112 VSB983111:VSB983112 WBX983111:WBX983112 WLT983111:WLT983112 WVP983111:WVP983112 JB105:JB106 SX105:SX106 ACT105:ACT106 AMP105:AMP106 AWL105:AWL106 BGH105:BGH106 BQD105:BQD106 BZZ105:BZZ106 CJV105:CJV106 CTR105:CTR106 DDN105:DDN106 DNJ105:DNJ106 DXF105:DXF106 EHB105:EHB106 EQX105:EQX106 FAT105:FAT106 FKP105:FKP106 FUL105:FUL106 GEH105:GEH106 GOD105:GOD106 GXZ105:GXZ106 HHV105:HHV106 HRR105:HRR106 IBN105:IBN106 ILJ105:ILJ106 IVF105:IVF106 JFB105:JFB106 JOX105:JOX106 JYT105:JYT106 KIP105:KIP106 KSL105:KSL106 LCH105:LCH106 LMD105:LMD106 LVZ105:LVZ106 MFV105:MFV106 MPR105:MPR106 MZN105:MZN106 NJJ105:NJJ106 NTF105:NTF106 ODB105:ODB106 OMX105:OMX106 OWT105:OWT106 PGP105:PGP106 PQL105:PQL106 QAH105:QAH106 QKD105:QKD106 QTZ105:QTZ106 RDV105:RDV106 RNR105:RNR106 RXN105:RXN106 SHJ105:SHJ106 SRF105:SRF106 TBB105:TBB106 TKX105:TKX106 TUT105:TUT106 UEP105:UEP106 UOL105:UOL106 UYH105:UYH106 VID105:VID106 VRZ105:VRZ106 WBV105:WBV106 WLR105:WLR106 WVN105:WVN106 F65640:F65642 JB65640:JB65642 SX65640:SX65642 ACT65640:ACT65642 AMP65640:AMP65642 AWL65640:AWL65642 BGH65640:BGH65642 BQD65640:BQD65642 BZZ65640:BZZ65642 CJV65640:CJV65642 CTR65640:CTR65642 DDN65640:DDN65642 DNJ65640:DNJ65642 DXF65640:DXF65642 EHB65640:EHB65642 EQX65640:EQX65642 FAT65640:FAT65642 FKP65640:FKP65642 FUL65640:FUL65642 GEH65640:GEH65642 GOD65640:GOD65642 GXZ65640:GXZ65642 HHV65640:HHV65642 HRR65640:HRR65642 IBN65640:IBN65642 ILJ65640:ILJ65642 IVF65640:IVF65642 JFB65640:JFB65642 JOX65640:JOX65642 JYT65640:JYT65642 KIP65640:KIP65642 KSL65640:KSL65642 LCH65640:LCH65642 LMD65640:LMD65642 LVZ65640:LVZ65642 MFV65640:MFV65642 MPR65640:MPR65642 MZN65640:MZN65642 NJJ65640:NJJ65642 NTF65640:NTF65642 ODB65640:ODB65642 OMX65640:OMX65642 OWT65640:OWT65642 PGP65640:PGP65642 PQL65640:PQL65642 QAH65640:QAH65642 QKD65640:QKD65642 QTZ65640:QTZ65642 RDV65640:RDV65642 RNR65640:RNR65642 RXN65640:RXN65642 SHJ65640:SHJ65642 SRF65640:SRF65642 TBB65640:TBB65642 TKX65640:TKX65642 TUT65640:TUT65642 UEP65640:UEP65642 UOL65640:UOL65642 UYH65640:UYH65642 VID65640:VID65642 VRZ65640:VRZ65642 WBV65640:WBV65642 WLR65640:WLR65642 WVN65640:WVN65642 F131176:F131178 JB131176:JB131178 SX131176:SX131178 ACT131176:ACT131178 AMP131176:AMP131178 AWL131176:AWL131178 BGH131176:BGH131178 BQD131176:BQD131178 BZZ131176:BZZ131178 CJV131176:CJV131178 CTR131176:CTR131178 DDN131176:DDN131178 DNJ131176:DNJ131178 DXF131176:DXF131178 EHB131176:EHB131178 EQX131176:EQX131178 FAT131176:FAT131178 FKP131176:FKP131178 FUL131176:FUL131178 GEH131176:GEH131178 GOD131176:GOD131178 GXZ131176:GXZ131178 HHV131176:HHV131178 HRR131176:HRR131178 IBN131176:IBN131178 ILJ131176:ILJ131178 IVF131176:IVF131178 JFB131176:JFB131178 JOX131176:JOX131178 JYT131176:JYT131178 KIP131176:KIP131178 KSL131176:KSL131178 LCH131176:LCH131178 LMD131176:LMD131178 LVZ131176:LVZ131178 MFV131176:MFV131178 MPR131176:MPR131178 MZN131176:MZN131178 NJJ131176:NJJ131178 NTF131176:NTF131178 ODB131176:ODB131178 OMX131176:OMX131178 OWT131176:OWT131178 PGP131176:PGP131178 PQL131176:PQL131178 QAH131176:QAH131178 QKD131176:QKD131178 QTZ131176:QTZ131178 RDV131176:RDV131178 RNR131176:RNR131178 RXN131176:RXN131178 SHJ131176:SHJ131178 SRF131176:SRF131178 TBB131176:TBB131178 TKX131176:TKX131178 TUT131176:TUT131178 UEP131176:UEP131178 UOL131176:UOL131178 UYH131176:UYH131178 VID131176:VID131178 VRZ131176:VRZ131178 WBV131176:WBV131178 WLR131176:WLR131178 WVN131176:WVN131178 F196712:F196714 JB196712:JB196714 SX196712:SX196714 ACT196712:ACT196714 AMP196712:AMP196714 AWL196712:AWL196714 BGH196712:BGH196714 BQD196712:BQD196714 BZZ196712:BZZ196714 CJV196712:CJV196714 CTR196712:CTR196714 DDN196712:DDN196714 DNJ196712:DNJ196714 DXF196712:DXF196714 EHB196712:EHB196714 EQX196712:EQX196714 FAT196712:FAT196714 FKP196712:FKP196714 FUL196712:FUL196714 GEH196712:GEH196714 GOD196712:GOD196714 GXZ196712:GXZ196714 HHV196712:HHV196714 HRR196712:HRR196714 IBN196712:IBN196714 ILJ196712:ILJ196714 IVF196712:IVF196714 JFB196712:JFB196714 JOX196712:JOX196714 JYT196712:JYT196714 KIP196712:KIP196714 KSL196712:KSL196714 LCH196712:LCH196714 LMD196712:LMD196714 LVZ196712:LVZ196714 MFV196712:MFV196714 MPR196712:MPR196714 MZN196712:MZN196714 NJJ196712:NJJ196714 NTF196712:NTF196714 ODB196712:ODB196714 OMX196712:OMX196714 OWT196712:OWT196714 PGP196712:PGP196714 PQL196712:PQL196714 QAH196712:QAH196714 QKD196712:QKD196714 QTZ196712:QTZ196714 RDV196712:RDV196714 RNR196712:RNR196714 RXN196712:RXN196714 SHJ196712:SHJ196714 SRF196712:SRF196714 TBB196712:TBB196714 TKX196712:TKX196714 TUT196712:TUT196714 UEP196712:UEP196714 UOL196712:UOL196714 UYH196712:UYH196714 VID196712:VID196714 VRZ196712:VRZ196714 WBV196712:WBV196714 WLR196712:WLR196714 WVN196712:WVN196714 F262248:F262250 JB262248:JB262250 SX262248:SX262250 ACT262248:ACT262250 AMP262248:AMP262250 AWL262248:AWL262250 BGH262248:BGH262250 BQD262248:BQD262250 BZZ262248:BZZ262250 CJV262248:CJV262250 CTR262248:CTR262250 DDN262248:DDN262250 DNJ262248:DNJ262250 DXF262248:DXF262250 EHB262248:EHB262250 EQX262248:EQX262250 FAT262248:FAT262250 FKP262248:FKP262250 FUL262248:FUL262250 GEH262248:GEH262250 GOD262248:GOD262250 GXZ262248:GXZ262250 HHV262248:HHV262250 HRR262248:HRR262250 IBN262248:IBN262250 ILJ262248:ILJ262250 IVF262248:IVF262250 JFB262248:JFB262250 JOX262248:JOX262250 JYT262248:JYT262250 KIP262248:KIP262250 KSL262248:KSL262250 LCH262248:LCH262250 LMD262248:LMD262250 LVZ262248:LVZ262250 MFV262248:MFV262250 MPR262248:MPR262250 MZN262248:MZN262250 NJJ262248:NJJ262250 NTF262248:NTF262250 ODB262248:ODB262250 OMX262248:OMX262250 OWT262248:OWT262250 PGP262248:PGP262250 PQL262248:PQL262250 QAH262248:QAH262250 QKD262248:QKD262250 QTZ262248:QTZ262250 RDV262248:RDV262250 RNR262248:RNR262250 RXN262248:RXN262250 SHJ262248:SHJ262250 SRF262248:SRF262250 TBB262248:TBB262250 TKX262248:TKX262250 TUT262248:TUT262250 UEP262248:UEP262250 UOL262248:UOL262250 UYH262248:UYH262250 VID262248:VID262250 VRZ262248:VRZ262250 WBV262248:WBV262250 WLR262248:WLR262250 WVN262248:WVN262250 F327784:F327786 JB327784:JB327786 SX327784:SX327786 ACT327784:ACT327786 AMP327784:AMP327786 AWL327784:AWL327786 BGH327784:BGH327786 BQD327784:BQD327786 BZZ327784:BZZ327786 CJV327784:CJV327786 CTR327784:CTR327786 DDN327784:DDN327786 DNJ327784:DNJ327786 DXF327784:DXF327786 EHB327784:EHB327786 EQX327784:EQX327786 FAT327784:FAT327786 FKP327784:FKP327786 FUL327784:FUL327786 GEH327784:GEH327786 GOD327784:GOD327786 GXZ327784:GXZ327786 HHV327784:HHV327786 HRR327784:HRR327786 IBN327784:IBN327786 ILJ327784:ILJ327786 IVF327784:IVF327786 JFB327784:JFB327786 JOX327784:JOX327786 JYT327784:JYT327786 KIP327784:KIP327786 KSL327784:KSL327786 LCH327784:LCH327786 LMD327784:LMD327786 LVZ327784:LVZ327786 MFV327784:MFV327786 MPR327784:MPR327786 MZN327784:MZN327786 NJJ327784:NJJ327786 NTF327784:NTF327786 ODB327784:ODB327786 OMX327784:OMX327786 OWT327784:OWT327786 PGP327784:PGP327786 PQL327784:PQL327786 QAH327784:QAH327786 QKD327784:QKD327786 QTZ327784:QTZ327786 RDV327784:RDV327786 RNR327784:RNR327786 RXN327784:RXN327786 SHJ327784:SHJ327786 SRF327784:SRF327786 TBB327784:TBB327786 TKX327784:TKX327786 TUT327784:TUT327786 UEP327784:UEP327786 UOL327784:UOL327786 UYH327784:UYH327786 VID327784:VID327786 VRZ327784:VRZ327786 WBV327784:WBV327786 WLR327784:WLR327786 WVN327784:WVN327786 F393320:F393322 JB393320:JB393322 SX393320:SX393322 ACT393320:ACT393322 AMP393320:AMP393322 AWL393320:AWL393322 BGH393320:BGH393322 BQD393320:BQD393322 BZZ393320:BZZ393322 CJV393320:CJV393322 CTR393320:CTR393322 DDN393320:DDN393322 DNJ393320:DNJ393322 DXF393320:DXF393322 EHB393320:EHB393322 EQX393320:EQX393322 FAT393320:FAT393322 FKP393320:FKP393322 FUL393320:FUL393322 GEH393320:GEH393322 GOD393320:GOD393322 GXZ393320:GXZ393322 HHV393320:HHV393322 HRR393320:HRR393322 IBN393320:IBN393322 ILJ393320:ILJ393322 IVF393320:IVF393322 JFB393320:JFB393322 JOX393320:JOX393322 JYT393320:JYT393322 KIP393320:KIP393322 KSL393320:KSL393322 LCH393320:LCH393322 LMD393320:LMD393322 LVZ393320:LVZ393322 MFV393320:MFV393322 MPR393320:MPR393322 MZN393320:MZN393322 NJJ393320:NJJ393322 NTF393320:NTF393322 ODB393320:ODB393322 OMX393320:OMX393322 OWT393320:OWT393322 PGP393320:PGP393322 PQL393320:PQL393322 QAH393320:QAH393322 QKD393320:QKD393322 QTZ393320:QTZ393322 RDV393320:RDV393322 RNR393320:RNR393322 RXN393320:RXN393322 SHJ393320:SHJ393322 SRF393320:SRF393322 TBB393320:TBB393322 TKX393320:TKX393322 TUT393320:TUT393322 UEP393320:UEP393322 UOL393320:UOL393322 UYH393320:UYH393322 VID393320:VID393322 VRZ393320:VRZ393322 WBV393320:WBV393322 WLR393320:WLR393322 WVN393320:WVN393322 F458856:F458858 JB458856:JB458858 SX458856:SX458858 ACT458856:ACT458858 AMP458856:AMP458858 AWL458856:AWL458858 BGH458856:BGH458858 BQD458856:BQD458858 BZZ458856:BZZ458858 CJV458856:CJV458858 CTR458856:CTR458858 DDN458856:DDN458858 DNJ458856:DNJ458858 DXF458856:DXF458858 EHB458856:EHB458858 EQX458856:EQX458858 FAT458856:FAT458858 FKP458856:FKP458858 FUL458856:FUL458858 GEH458856:GEH458858 GOD458856:GOD458858 GXZ458856:GXZ458858 HHV458856:HHV458858 HRR458856:HRR458858 IBN458856:IBN458858 ILJ458856:ILJ458858 IVF458856:IVF458858 JFB458856:JFB458858 JOX458856:JOX458858 JYT458856:JYT458858 KIP458856:KIP458858 KSL458856:KSL458858 LCH458856:LCH458858 LMD458856:LMD458858 LVZ458856:LVZ458858 MFV458856:MFV458858 MPR458856:MPR458858 MZN458856:MZN458858 NJJ458856:NJJ458858 NTF458856:NTF458858 ODB458856:ODB458858 OMX458856:OMX458858 OWT458856:OWT458858 PGP458856:PGP458858 PQL458856:PQL458858 QAH458856:QAH458858 QKD458856:QKD458858 QTZ458856:QTZ458858 RDV458856:RDV458858 RNR458856:RNR458858 RXN458856:RXN458858 SHJ458856:SHJ458858 SRF458856:SRF458858 TBB458856:TBB458858 TKX458856:TKX458858 TUT458856:TUT458858 UEP458856:UEP458858 UOL458856:UOL458858 UYH458856:UYH458858 VID458856:VID458858 VRZ458856:VRZ458858 WBV458856:WBV458858 WLR458856:WLR458858 WVN458856:WVN458858 F524392:F524394 JB524392:JB524394 SX524392:SX524394 ACT524392:ACT524394 AMP524392:AMP524394 AWL524392:AWL524394 BGH524392:BGH524394 BQD524392:BQD524394 BZZ524392:BZZ524394 CJV524392:CJV524394 CTR524392:CTR524394 DDN524392:DDN524394 DNJ524392:DNJ524394 DXF524392:DXF524394 EHB524392:EHB524394 EQX524392:EQX524394 FAT524392:FAT524394 FKP524392:FKP524394 FUL524392:FUL524394 GEH524392:GEH524394 GOD524392:GOD524394 GXZ524392:GXZ524394 HHV524392:HHV524394 HRR524392:HRR524394 IBN524392:IBN524394 ILJ524392:ILJ524394 IVF524392:IVF524394 JFB524392:JFB524394 JOX524392:JOX524394 JYT524392:JYT524394 KIP524392:KIP524394 KSL524392:KSL524394 LCH524392:LCH524394 LMD524392:LMD524394 LVZ524392:LVZ524394 MFV524392:MFV524394 MPR524392:MPR524394 MZN524392:MZN524394 NJJ524392:NJJ524394 NTF524392:NTF524394 ODB524392:ODB524394 OMX524392:OMX524394 OWT524392:OWT524394 PGP524392:PGP524394 PQL524392:PQL524394 QAH524392:QAH524394 QKD524392:QKD524394 QTZ524392:QTZ524394 RDV524392:RDV524394 RNR524392:RNR524394 RXN524392:RXN524394 SHJ524392:SHJ524394 SRF524392:SRF524394 TBB524392:TBB524394 TKX524392:TKX524394 TUT524392:TUT524394 UEP524392:UEP524394 UOL524392:UOL524394 UYH524392:UYH524394 VID524392:VID524394 VRZ524392:VRZ524394 WBV524392:WBV524394 WLR524392:WLR524394 WVN524392:WVN524394 F589928:F589930 JB589928:JB589930 SX589928:SX589930 ACT589928:ACT589930 AMP589928:AMP589930 AWL589928:AWL589930 BGH589928:BGH589930 BQD589928:BQD589930 BZZ589928:BZZ589930 CJV589928:CJV589930 CTR589928:CTR589930 DDN589928:DDN589930 DNJ589928:DNJ589930 DXF589928:DXF589930 EHB589928:EHB589930 EQX589928:EQX589930 FAT589928:FAT589930 FKP589928:FKP589930 FUL589928:FUL589930 GEH589928:GEH589930 GOD589928:GOD589930 GXZ589928:GXZ589930 HHV589928:HHV589930 HRR589928:HRR589930 IBN589928:IBN589930 ILJ589928:ILJ589930 IVF589928:IVF589930 JFB589928:JFB589930 JOX589928:JOX589930 JYT589928:JYT589930 KIP589928:KIP589930 KSL589928:KSL589930 LCH589928:LCH589930 LMD589928:LMD589930 LVZ589928:LVZ589930 MFV589928:MFV589930 MPR589928:MPR589930 MZN589928:MZN589930 NJJ589928:NJJ589930 NTF589928:NTF589930 ODB589928:ODB589930 OMX589928:OMX589930 OWT589928:OWT589930 PGP589928:PGP589930 PQL589928:PQL589930 QAH589928:QAH589930 QKD589928:QKD589930 QTZ589928:QTZ589930 RDV589928:RDV589930 RNR589928:RNR589930 RXN589928:RXN589930 SHJ589928:SHJ589930 SRF589928:SRF589930 TBB589928:TBB589930 TKX589928:TKX589930 TUT589928:TUT589930 UEP589928:UEP589930 UOL589928:UOL589930 UYH589928:UYH589930 VID589928:VID589930 VRZ589928:VRZ589930 WBV589928:WBV589930 WLR589928:WLR589930 WVN589928:WVN589930 F655464:F655466 JB655464:JB655466 SX655464:SX655466 ACT655464:ACT655466 AMP655464:AMP655466 AWL655464:AWL655466 BGH655464:BGH655466 BQD655464:BQD655466 BZZ655464:BZZ655466 CJV655464:CJV655466 CTR655464:CTR655466 DDN655464:DDN655466 DNJ655464:DNJ655466 DXF655464:DXF655466 EHB655464:EHB655466 EQX655464:EQX655466 FAT655464:FAT655466 FKP655464:FKP655466 FUL655464:FUL655466 GEH655464:GEH655466 GOD655464:GOD655466 GXZ655464:GXZ655466 HHV655464:HHV655466 HRR655464:HRR655466 IBN655464:IBN655466 ILJ655464:ILJ655466 IVF655464:IVF655466 JFB655464:JFB655466 JOX655464:JOX655466 JYT655464:JYT655466 KIP655464:KIP655466 KSL655464:KSL655466 LCH655464:LCH655466 LMD655464:LMD655466 LVZ655464:LVZ655466 MFV655464:MFV655466 MPR655464:MPR655466 MZN655464:MZN655466 NJJ655464:NJJ655466 NTF655464:NTF655466 ODB655464:ODB655466 OMX655464:OMX655466 OWT655464:OWT655466 PGP655464:PGP655466 PQL655464:PQL655466 QAH655464:QAH655466 QKD655464:QKD655466 QTZ655464:QTZ655466 RDV655464:RDV655466 RNR655464:RNR655466 RXN655464:RXN655466 SHJ655464:SHJ655466 SRF655464:SRF655466 TBB655464:TBB655466 TKX655464:TKX655466 TUT655464:TUT655466 UEP655464:UEP655466 UOL655464:UOL655466 UYH655464:UYH655466 VID655464:VID655466 VRZ655464:VRZ655466 WBV655464:WBV655466 WLR655464:WLR655466 WVN655464:WVN655466 F721000:F721002 JB721000:JB721002 SX721000:SX721002 ACT721000:ACT721002 AMP721000:AMP721002 AWL721000:AWL721002 BGH721000:BGH721002 BQD721000:BQD721002 BZZ721000:BZZ721002 CJV721000:CJV721002 CTR721000:CTR721002 DDN721000:DDN721002 DNJ721000:DNJ721002 DXF721000:DXF721002 EHB721000:EHB721002 EQX721000:EQX721002 FAT721000:FAT721002 FKP721000:FKP721002 FUL721000:FUL721002 GEH721000:GEH721002 GOD721000:GOD721002 GXZ721000:GXZ721002 HHV721000:HHV721002 HRR721000:HRR721002 IBN721000:IBN721002 ILJ721000:ILJ721002 IVF721000:IVF721002 JFB721000:JFB721002 JOX721000:JOX721002 JYT721000:JYT721002 KIP721000:KIP721002 KSL721000:KSL721002 LCH721000:LCH721002 LMD721000:LMD721002 LVZ721000:LVZ721002 MFV721000:MFV721002 MPR721000:MPR721002 MZN721000:MZN721002 NJJ721000:NJJ721002 NTF721000:NTF721002 ODB721000:ODB721002 OMX721000:OMX721002 OWT721000:OWT721002 PGP721000:PGP721002 PQL721000:PQL721002 QAH721000:QAH721002 QKD721000:QKD721002 QTZ721000:QTZ721002 RDV721000:RDV721002 RNR721000:RNR721002 RXN721000:RXN721002 SHJ721000:SHJ721002 SRF721000:SRF721002 TBB721000:TBB721002 TKX721000:TKX721002 TUT721000:TUT721002 UEP721000:UEP721002 UOL721000:UOL721002 UYH721000:UYH721002 VID721000:VID721002 VRZ721000:VRZ721002 WBV721000:WBV721002 WLR721000:WLR721002 WVN721000:WVN721002 F786536:F786538 JB786536:JB786538 SX786536:SX786538 ACT786536:ACT786538 AMP786536:AMP786538 AWL786536:AWL786538 BGH786536:BGH786538 BQD786536:BQD786538 BZZ786536:BZZ786538 CJV786536:CJV786538 CTR786536:CTR786538 DDN786536:DDN786538 DNJ786536:DNJ786538 DXF786536:DXF786538 EHB786536:EHB786538 EQX786536:EQX786538 FAT786536:FAT786538 FKP786536:FKP786538 FUL786536:FUL786538 GEH786536:GEH786538 GOD786536:GOD786538 GXZ786536:GXZ786538 HHV786536:HHV786538 HRR786536:HRR786538 IBN786536:IBN786538 ILJ786536:ILJ786538 IVF786536:IVF786538 JFB786536:JFB786538 JOX786536:JOX786538 JYT786536:JYT786538 KIP786536:KIP786538 KSL786536:KSL786538 LCH786536:LCH786538 LMD786536:LMD786538 LVZ786536:LVZ786538 MFV786536:MFV786538 MPR786536:MPR786538 MZN786536:MZN786538 NJJ786536:NJJ786538 NTF786536:NTF786538 ODB786536:ODB786538 OMX786536:OMX786538 OWT786536:OWT786538 PGP786536:PGP786538 PQL786536:PQL786538 QAH786536:QAH786538 QKD786536:QKD786538 QTZ786536:QTZ786538 RDV786536:RDV786538 RNR786536:RNR786538 RXN786536:RXN786538 SHJ786536:SHJ786538 SRF786536:SRF786538 TBB786536:TBB786538 TKX786536:TKX786538 TUT786536:TUT786538 UEP786536:UEP786538 UOL786536:UOL786538 UYH786536:UYH786538 VID786536:VID786538 VRZ786536:VRZ786538 WBV786536:WBV786538 WLR786536:WLR786538 WVN786536:WVN786538 F852072:F852074 JB852072:JB852074 SX852072:SX852074 ACT852072:ACT852074 AMP852072:AMP852074 AWL852072:AWL852074 BGH852072:BGH852074 BQD852072:BQD852074 BZZ852072:BZZ852074 CJV852072:CJV852074 CTR852072:CTR852074 DDN852072:DDN852074 DNJ852072:DNJ852074 DXF852072:DXF852074 EHB852072:EHB852074 EQX852072:EQX852074 FAT852072:FAT852074 FKP852072:FKP852074 FUL852072:FUL852074 GEH852072:GEH852074 GOD852072:GOD852074 GXZ852072:GXZ852074 HHV852072:HHV852074 HRR852072:HRR852074 IBN852072:IBN852074 ILJ852072:ILJ852074 IVF852072:IVF852074 JFB852072:JFB852074 JOX852072:JOX852074 JYT852072:JYT852074 KIP852072:KIP852074 KSL852072:KSL852074 LCH852072:LCH852074 LMD852072:LMD852074 LVZ852072:LVZ852074 MFV852072:MFV852074 MPR852072:MPR852074 MZN852072:MZN852074 NJJ852072:NJJ852074 NTF852072:NTF852074 ODB852072:ODB852074 OMX852072:OMX852074 OWT852072:OWT852074 PGP852072:PGP852074 PQL852072:PQL852074 QAH852072:QAH852074 QKD852072:QKD852074 QTZ852072:QTZ852074 RDV852072:RDV852074 RNR852072:RNR852074 RXN852072:RXN852074 SHJ852072:SHJ852074 SRF852072:SRF852074 TBB852072:TBB852074 TKX852072:TKX852074 TUT852072:TUT852074 UEP852072:UEP852074 UOL852072:UOL852074 UYH852072:UYH852074 VID852072:VID852074 VRZ852072:VRZ852074 WBV852072:WBV852074 WLR852072:WLR852074 WVN852072:WVN852074 F917608:F917610 JB917608:JB917610 SX917608:SX917610 ACT917608:ACT917610 AMP917608:AMP917610 AWL917608:AWL917610 BGH917608:BGH917610 BQD917608:BQD917610 BZZ917608:BZZ917610 CJV917608:CJV917610 CTR917608:CTR917610 DDN917608:DDN917610 DNJ917608:DNJ917610 DXF917608:DXF917610 EHB917608:EHB917610 EQX917608:EQX917610 FAT917608:FAT917610 FKP917608:FKP917610 FUL917608:FUL917610 GEH917608:GEH917610 GOD917608:GOD917610 GXZ917608:GXZ917610 HHV917608:HHV917610 HRR917608:HRR917610 IBN917608:IBN917610 ILJ917608:ILJ917610 IVF917608:IVF917610 JFB917608:JFB917610 JOX917608:JOX917610 JYT917608:JYT917610 KIP917608:KIP917610 KSL917608:KSL917610 LCH917608:LCH917610 LMD917608:LMD917610 LVZ917608:LVZ917610 MFV917608:MFV917610 MPR917608:MPR917610 MZN917608:MZN917610 NJJ917608:NJJ917610 NTF917608:NTF917610 ODB917608:ODB917610 OMX917608:OMX917610 OWT917608:OWT917610 PGP917608:PGP917610 PQL917608:PQL917610 QAH917608:QAH917610 QKD917608:QKD917610 QTZ917608:QTZ917610 RDV917608:RDV917610 RNR917608:RNR917610 RXN917608:RXN917610 SHJ917608:SHJ917610 SRF917608:SRF917610 TBB917608:TBB917610 TKX917608:TKX917610 TUT917608:TUT917610 UEP917608:UEP917610 UOL917608:UOL917610 UYH917608:UYH917610 VID917608:VID917610 VRZ917608:VRZ917610 WBV917608:WBV917610 WLR917608:WLR917610 WVN917608:WVN917610 F983144:F983146 JB983144:JB983146 SX983144:SX983146 ACT983144:ACT983146 AMP983144:AMP983146 AWL983144:AWL983146 BGH983144:BGH983146 BQD983144:BQD983146 BZZ983144:BZZ983146 CJV983144:CJV983146 CTR983144:CTR983146 DDN983144:DDN983146 DNJ983144:DNJ983146 DXF983144:DXF983146 EHB983144:EHB983146 EQX983144:EQX983146 FAT983144:FAT983146 FKP983144:FKP983146 FUL983144:FUL983146 GEH983144:GEH983146 GOD983144:GOD983146 GXZ983144:GXZ983146 HHV983144:HHV983146 HRR983144:HRR983146 IBN983144:IBN983146 ILJ983144:ILJ983146 IVF983144:IVF983146 JFB983144:JFB983146 JOX983144:JOX983146 JYT983144:JYT983146 KIP983144:KIP983146 KSL983144:KSL983146 LCH983144:LCH983146 LMD983144:LMD983146 LVZ983144:LVZ983146 MFV983144:MFV983146 MPR983144:MPR983146 MZN983144:MZN983146 NJJ983144:NJJ983146 NTF983144:NTF983146 ODB983144:ODB983146 OMX983144:OMX983146 OWT983144:OWT983146 PGP983144:PGP983146 PQL983144:PQL983146 QAH983144:QAH983146 QKD983144:QKD983146 QTZ983144:QTZ983146 RDV983144:RDV983146 RNR983144:RNR983146 RXN983144:RXN983146 SHJ983144:SHJ983146 SRF983144:SRF983146 TBB983144:TBB983146 TKX983144:TKX983146 TUT983144:TUT983146 UEP983144:UEP983146 UOL983144:UOL983146 UYH983144:UYH983146 VID983144:VID983146 VRZ983144:VRZ983146 WBV983144:WBV983146 WLR983144:WLR983146 WVN983144:WVN983146 CAI71:CAI77 JK68:JK69 TG68:TG69 ADC68:ADC69 AMY68:AMY69 AWU68:AWU69 BGQ68:BGQ69 BQM68:BQM69 CAI68:CAI69 CKE68:CKE69 CUA68:CUA69 DDW68:DDW69 DNS68:DNS69 DXO68:DXO69 EHK68:EHK69 ERG68:ERG69 FBC68:FBC69 FKY68:FKY69 FUU68:FUU69 GEQ68:GEQ69 GOM68:GOM69 GYI68:GYI69 HIE68:HIE69 HSA68:HSA69 IBW68:IBW69 ILS68:ILS69 IVO68:IVO69 JFK68:JFK69 JPG68:JPG69 JZC68:JZC69 KIY68:KIY69 KSU68:KSU69 LCQ68:LCQ69 LMM68:LMM69 LWI68:LWI69 MGE68:MGE69 MQA68:MQA69 MZW68:MZW69 NJS68:NJS69 NTO68:NTO69 ODK68:ODK69 ONG68:ONG69 OXC68:OXC69 PGY68:PGY69 PQU68:PQU69 QAQ68:QAQ69 QKM68:QKM69 QUI68:QUI69 REE68:REE69 ROA68:ROA69 RXW68:RXW69 SHS68:SHS69 SRO68:SRO69 TBK68:TBK69 TLG68:TLG69 TVC68:TVC69 UEY68:UEY69 UOU68:UOU69 UYQ68:UYQ69 VIM68:VIM69 VSI68:VSI69 WCE68:WCE69 WMA68:WMA69 WVW68:WVW69 O65607:O65608 JK65607:JK65608 TG65607:TG65608 ADC65607:ADC65608 AMY65607:AMY65608 AWU65607:AWU65608 BGQ65607:BGQ65608 BQM65607:BQM65608 CAI65607:CAI65608 CKE65607:CKE65608 CUA65607:CUA65608 DDW65607:DDW65608 DNS65607:DNS65608 DXO65607:DXO65608 EHK65607:EHK65608 ERG65607:ERG65608 FBC65607:FBC65608 FKY65607:FKY65608 FUU65607:FUU65608 GEQ65607:GEQ65608 GOM65607:GOM65608 GYI65607:GYI65608 HIE65607:HIE65608 HSA65607:HSA65608 IBW65607:IBW65608 ILS65607:ILS65608 IVO65607:IVO65608 JFK65607:JFK65608 JPG65607:JPG65608 JZC65607:JZC65608 KIY65607:KIY65608 KSU65607:KSU65608 LCQ65607:LCQ65608 LMM65607:LMM65608 LWI65607:LWI65608 MGE65607:MGE65608 MQA65607:MQA65608 MZW65607:MZW65608 NJS65607:NJS65608 NTO65607:NTO65608 ODK65607:ODK65608 ONG65607:ONG65608 OXC65607:OXC65608 PGY65607:PGY65608 PQU65607:PQU65608 QAQ65607:QAQ65608 QKM65607:QKM65608 QUI65607:QUI65608 REE65607:REE65608 ROA65607:ROA65608 RXW65607:RXW65608 SHS65607:SHS65608 SRO65607:SRO65608 TBK65607:TBK65608 TLG65607:TLG65608 TVC65607:TVC65608 UEY65607:UEY65608 UOU65607:UOU65608 UYQ65607:UYQ65608 VIM65607:VIM65608 VSI65607:VSI65608 WCE65607:WCE65608 WMA65607:WMA65608 WVW65607:WVW65608 O131143:O131144 JK131143:JK131144 TG131143:TG131144 ADC131143:ADC131144 AMY131143:AMY131144 AWU131143:AWU131144 BGQ131143:BGQ131144 BQM131143:BQM131144 CAI131143:CAI131144 CKE131143:CKE131144 CUA131143:CUA131144 DDW131143:DDW131144 DNS131143:DNS131144 DXO131143:DXO131144 EHK131143:EHK131144 ERG131143:ERG131144 FBC131143:FBC131144 FKY131143:FKY131144 FUU131143:FUU131144 GEQ131143:GEQ131144 GOM131143:GOM131144 GYI131143:GYI131144 HIE131143:HIE131144 HSA131143:HSA131144 IBW131143:IBW131144 ILS131143:ILS131144 IVO131143:IVO131144 JFK131143:JFK131144 JPG131143:JPG131144 JZC131143:JZC131144 KIY131143:KIY131144 KSU131143:KSU131144 LCQ131143:LCQ131144 LMM131143:LMM131144 LWI131143:LWI131144 MGE131143:MGE131144 MQA131143:MQA131144 MZW131143:MZW131144 NJS131143:NJS131144 NTO131143:NTO131144 ODK131143:ODK131144 ONG131143:ONG131144 OXC131143:OXC131144 PGY131143:PGY131144 PQU131143:PQU131144 QAQ131143:QAQ131144 QKM131143:QKM131144 QUI131143:QUI131144 REE131143:REE131144 ROA131143:ROA131144 RXW131143:RXW131144 SHS131143:SHS131144 SRO131143:SRO131144 TBK131143:TBK131144 TLG131143:TLG131144 TVC131143:TVC131144 UEY131143:UEY131144 UOU131143:UOU131144 UYQ131143:UYQ131144 VIM131143:VIM131144 VSI131143:VSI131144 WCE131143:WCE131144 WMA131143:WMA131144 WVW131143:WVW131144 O196679:O196680 JK196679:JK196680 TG196679:TG196680 ADC196679:ADC196680 AMY196679:AMY196680 AWU196679:AWU196680 BGQ196679:BGQ196680 BQM196679:BQM196680 CAI196679:CAI196680 CKE196679:CKE196680 CUA196679:CUA196680 DDW196679:DDW196680 DNS196679:DNS196680 DXO196679:DXO196680 EHK196679:EHK196680 ERG196679:ERG196680 FBC196679:FBC196680 FKY196679:FKY196680 FUU196679:FUU196680 GEQ196679:GEQ196680 GOM196679:GOM196680 GYI196679:GYI196680 HIE196679:HIE196680 HSA196679:HSA196680 IBW196679:IBW196680 ILS196679:ILS196680 IVO196679:IVO196680 JFK196679:JFK196680 JPG196679:JPG196680 JZC196679:JZC196680 KIY196679:KIY196680 KSU196679:KSU196680 LCQ196679:LCQ196680 LMM196679:LMM196680 LWI196679:LWI196680 MGE196679:MGE196680 MQA196679:MQA196680 MZW196679:MZW196680 NJS196679:NJS196680 NTO196679:NTO196680 ODK196679:ODK196680 ONG196679:ONG196680 OXC196679:OXC196680 PGY196679:PGY196680 PQU196679:PQU196680 QAQ196679:QAQ196680 QKM196679:QKM196680 QUI196679:QUI196680 REE196679:REE196680 ROA196679:ROA196680 RXW196679:RXW196680 SHS196679:SHS196680 SRO196679:SRO196680 TBK196679:TBK196680 TLG196679:TLG196680 TVC196679:TVC196680 UEY196679:UEY196680 UOU196679:UOU196680 UYQ196679:UYQ196680 VIM196679:VIM196680 VSI196679:VSI196680 WCE196679:WCE196680 WMA196679:WMA196680 WVW196679:WVW196680 O262215:O262216 JK262215:JK262216 TG262215:TG262216 ADC262215:ADC262216 AMY262215:AMY262216 AWU262215:AWU262216 BGQ262215:BGQ262216 BQM262215:BQM262216 CAI262215:CAI262216 CKE262215:CKE262216 CUA262215:CUA262216 DDW262215:DDW262216 DNS262215:DNS262216 DXO262215:DXO262216 EHK262215:EHK262216 ERG262215:ERG262216 FBC262215:FBC262216 FKY262215:FKY262216 FUU262215:FUU262216 GEQ262215:GEQ262216 GOM262215:GOM262216 GYI262215:GYI262216 HIE262215:HIE262216 HSA262215:HSA262216 IBW262215:IBW262216 ILS262215:ILS262216 IVO262215:IVO262216 JFK262215:JFK262216 JPG262215:JPG262216 JZC262215:JZC262216 KIY262215:KIY262216 KSU262215:KSU262216 LCQ262215:LCQ262216 LMM262215:LMM262216 LWI262215:LWI262216 MGE262215:MGE262216 MQA262215:MQA262216 MZW262215:MZW262216 NJS262215:NJS262216 NTO262215:NTO262216 ODK262215:ODK262216 ONG262215:ONG262216 OXC262215:OXC262216 PGY262215:PGY262216 PQU262215:PQU262216 QAQ262215:QAQ262216 QKM262215:QKM262216 QUI262215:QUI262216 REE262215:REE262216 ROA262215:ROA262216 RXW262215:RXW262216 SHS262215:SHS262216 SRO262215:SRO262216 TBK262215:TBK262216 TLG262215:TLG262216 TVC262215:TVC262216 UEY262215:UEY262216 UOU262215:UOU262216 UYQ262215:UYQ262216 VIM262215:VIM262216 VSI262215:VSI262216 WCE262215:WCE262216 WMA262215:WMA262216 WVW262215:WVW262216 O327751:O327752 JK327751:JK327752 TG327751:TG327752 ADC327751:ADC327752 AMY327751:AMY327752 AWU327751:AWU327752 BGQ327751:BGQ327752 BQM327751:BQM327752 CAI327751:CAI327752 CKE327751:CKE327752 CUA327751:CUA327752 DDW327751:DDW327752 DNS327751:DNS327752 DXO327751:DXO327752 EHK327751:EHK327752 ERG327751:ERG327752 FBC327751:FBC327752 FKY327751:FKY327752 FUU327751:FUU327752 GEQ327751:GEQ327752 GOM327751:GOM327752 GYI327751:GYI327752 HIE327751:HIE327752 HSA327751:HSA327752 IBW327751:IBW327752 ILS327751:ILS327752 IVO327751:IVO327752 JFK327751:JFK327752 JPG327751:JPG327752 JZC327751:JZC327752 KIY327751:KIY327752 KSU327751:KSU327752 LCQ327751:LCQ327752 LMM327751:LMM327752 LWI327751:LWI327752 MGE327751:MGE327752 MQA327751:MQA327752 MZW327751:MZW327752 NJS327751:NJS327752 NTO327751:NTO327752 ODK327751:ODK327752 ONG327751:ONG327752 OXC327751:OXC327752 PGY327751:PGY327752 PQU327751:PQU327752 QAQ327751:QAQ327752 QKM327751:QKM327752 QUI327751:QUI327752 REE327751:REE327752 ROA327751:ROA327752 RXW327751:RXW327752 SHS327751:SHS327752 SRO327751:SRO327752 TBK327751:TBK327752 TLG327751:TLG327752 TVC327751:TVC327752 UEY327751:UEY327752 UOU327751:UOU327752 UYQ327751:UYQ327752 VIM327751:VIM327752 VSI327751:VSI327752 WCE327751:WCE327752 WMA327751:WMA327752 WVW327751:WVW327752 O393287:O393288 JK393287:JK393288 TG393287:TG393288 ADC393287:ADC393288 AMY393287:AMY393288 AWU393287:AWU393288 BGQ393287:BGQ393288 BQM393287:BQM393288 CAI393287:CAI393288 CKE393287:CKE393288 CUA393287:CUA393288 DDW393287:DDW393288 DNS393287:DNS393288 DXO393287:DXO393288 EHK393287:EHK393288 ERG393287:ERG393288 FBC393287:FBC393288 FKY393287:FKY393288 FUU393287:FUU393288 GEQ393287:GEQ393288 GOM393287:GOM393288 GYI393287:GYI393288 HIE393287:HIE393288 HSA393287:HSA393288 IBW393287:IBW393288 ILS393287:ILS393288 IVO393287:IVO393288 JFK393287:JFK393288 JPG393287:JPG393288 JZC393287:JZC393288 KIY393287:KIY393288 KSU393287:KSU393288 LCQ393287:LCQ393288 LMM393287:LMM393288 LWI393287:LWI393288 MGE393287:MGE393288 MQA393287:MQA393288 MZW393287:MZW393288 NJS393287:NJS393288 NTO393287:NTO393288 ODK393287:ODK393288 ONG393287:ONG393288 OXC393287:OXC393288 PGY393287:PGY393288 PQU393287:PQU393288 QAQ393287:QAQ393288 QKM393287:QKM393288 QUI393287:QUI393288 REE393287:REE393288 ROA393287:ROA393288 RXW393287:RXW393288 SHS393287:SHS393288 SRO393287:SRO393288 TBK393287:TBK393288 TLG393287:TLG393288 TVC393287:TVC393288 UEY393287:UEY393288 UOU393287:UOU393288 UYQ393287:UYQ393288 VIM393287:VIM393288 VSI393287:VSI393288 WCE393287:WCE393288 WMA393287:WMA393288 WVW393287:WVW393288 O458823:O458824 JK458823:JK458824 TG458823:TG458824 ADC458823:ADC458824 AMY458823:AMY458824 AWU458823:AWU458824 BGQ458823:BGQ458824 BQM458823:BQM458824 CAI458823:CAI458824 CKE458823:CKE458824 CUA458823:CUA458824 DDW458823:DDW458824 DNS458823:DNS458824 DXO458823:DXO458824 EHK458823:EHK458824 ERG458823:ERG458824 FBC458823:FBC458824 FKY458823:FKY458824 FUU458823:FUU458824 GEQ458823:GEQ458824 GOM458823:GOM458824 GYI458823:GYI458824 HIE458823:HIE458824 HSA458823:HSA458824 IBW458823:IBW458824 ILS458823:ILS458824 IVO458823:IVO458824 JFK458823:JFK458824 JPG458823:JPG458824 JZC458823:JZC458824 KIY458823:KIY458824 KSU458823:KSU458824 LCQ458823:LCQ458824 LMM458823:LMM458824 LWI458823:LWI458824 MGE458823:MGE458824 MQA458823:MQA458824 MZW458823:MZW458824 NJS458823:NJS458824 NTO458823:NTO458824 ODK458823:ODK458824 ONG458823:ONG458824 OXC458823:OXC458824 PGY458823:PGY458824 PQU458823:PQU458824 QAQ458823:QAQ458824 QKM458823:QKM458824 QUI458823:QUI458824 REE458823:REE458824 ROA458823:ROA458824 RXW458823:RXW458824 SHS458823:SHS458824 SRO458823:SRO458824 TBK458823:TBK458824 TLG458823:TLG458824 TVC458823:TVC458824 UEY458823:UEY458824 UOU458823:UOU458824 UYQ458823:UYQ458824 VIM458823:VIM458824 VSI458823:VSI458824 WCE458823:WCE458824 WMA458823:WMA458824 WVW458823:WVW458824 O524359:O524360 JK524359:JK524360 TG524359:TG524360 ADC524359:ADC524360 AMY524359:AMY524360 AWU524359:AWU524360 BGQ524359:BGQ524360 BQM524359:BQM524360 CAI524359:CAI524360 CKE524359:CKE524360 CUA524359:CUA524360 DDW524359:DDW524360 DNS524359:DNS524360 DXO524359:DXO524360 EHK524359:EHK524360 ERG524359:ERG524360 FBC524359:FBC524360 FKY524359:FKY524360 FUU524359:FUU524360 GEQ524359:GEQ524360 GOM524359:GOM524360 GYI524359:GYI524360 HIE524359:HIE524360 HSA524359:HSA524360 IBW524359:IBW524360 ILS524359:ILS524360 IVO524359:IVO524360 JFK524359:JFK524360 JPG524359:JPG524360 JZC524359:JZC524360 KIY524359:KIY524360 KSU524359:KSU524360 LCQ524359:LCQ524360 LMM524359:LMM524360 LWI524359:LWI524360 MGE524359:MGE524360 MQA524359:MQA524360 MZW524359:MZW524360 NJS524359:NJS524360 NTO524359:NTO524360 ODK524359:ODK524360 ONG524359:ONG524360 OXC524359:OXC524360 PGY524359:PGY524360 PQU524359:PQU524360 QAQ524359:QAQ524360 QKM524359:QKM524360 QUI524359:QUI524360 REE524359:REE524360 ROA524359:ROA524360 RXW524359:RXW524360 SHS524359:SHS524360 SRO524359:SRO524360 TBK524359:TBK524360 TLG524359:TLG524360 TVC524359:TVC524360 UEY524359:UEY524360 UOU524359:UOU524360 UYQ524359:UYQ524360 VIM524359:VIM524360 VSI524359:VSI524360 WCE524359:WCE524360 WMA524359:WMA524360 WVW524359:WVW524360 O589895:O589896 JK589895:JK589896 TG589895:TG589896 ADC589895:ADC589896 AMY589895:AMY589896 AWU589895:AWU589896 BGQ589895:BGQ589896 BQM589895:BQM589896 CAI589895:CAI589896 CKE589895:CKE589896 CUA589895:CUA589896 DDW589895:DDW589896 DNS589895:DNS589896 DXO589895:DXO589896 EHK589895:EHK589896 ERG589895:ERG589896 FBC589895:FBC589896 FKY589895:FKY589896 FUU589895:FUU589896 GEQ589895:GEQ589896 GOM589895:GOM589896 GYI589895:GYI589896 HIE589895:HIE589896 HSA589895:HSA589896 IBW589895:IBW589896 ILS589895:ILS589896 IVO589895:IVO589896 JFK589895:JFK589896 JPG589895:JPG589896 JZC589895:JZC589896 KIY589895:KIY589896 KSU589895:KSU589896 LCQ589895:LCQ589896 LMM589895:LMM589896 LWI589895:LWI589896 MGE589895:MGE589896 MQA589895:MQA589896 MZW589895:MZW589896 NJS589895:NJS589896 NTO589895:NTO589896 ODK589895:ODK589896 ONG589895:ONG589896 OXC589895:OXC589896 PGY589895:PGY589896 PQU589895:PQU589896 QAQ589895:QAQ589896 QKM589895:QKM589896 QUI589895:QUI589896 REE589895:REE589896 ROA589895:ROA589896 RXW589895:RXW589896 SHS589895:SHS589896 SRO589895:SRO589896 TBK589895:TBK589896 TLG589895:TLG589896 TVC589895:TVC589896 UEY589895:UEY589896 UOU589895:UOU589896 UYQ589895:UYQ589896 VIM589895:VIM589896 VSI589895:VSI589896 WCE589895:WCE589896 WMA589895:WMA589896 WVW589895:WVW589896 O655431:O655432 JK655431:JK655432 TG655431:TG655432 ADC655431:ADC655432 AMY655431:AMY655432 AWU655431:AWU655432 BGQ655431:BGQ655432 BQM655431:BQM655432 CAI655431:CAI655432 CKE655431:CKE655432 CUA655431:CUA655432 DDW655431:DDW655432 DNS655431:DNS655432 DXO655431:DXO655432 EHK655431:EHK655432 ERG655431:ERG655432 FBC655431:FBC655432 FKY655431:FKY655432 FUU655431:FUU655432 GEQ655431:GEQ655432 GOM655431:GOM655432 GYI655431:GYI655432 HIE655431:HIE655432 HSA655431:HSA655432 IBW655431:IBW655432 ILS655431:ILS655432 IVO655431:IVO655432 JFK655431:JFK655432 JPG655431:JPG655432 JZC655431:JZC655432 KIY655431:KIY655432 KSU655431:KSU655432 LCQ655431:LCQ655432 LMM655431:LMM655432 LWI655431:LWI655432 MGE655431:MGE655432 MQA655431:MQA655432 MZW655431:MZW655432 NJS655431:NJS655432 NTO655431:NTO655432 ODK655431:ODK655432 ONG655431:ONG655432 OXC655431:OXC655432 PGY655431:PGY655432 PQU655431:PQU655432 QAQ655431:QAQ655432 QKM655431:QKM655432 QUI655431:QUI655432 REE655431:REE655432 ROA655431:ROA655432 RXW655431:RXW655432 SHS655431:SHS655432 SRO655431:SRO655432 TBK655431:TBK655432 TLG655431:TLG655432 TVC655431:TVC655432 UEY655431:UEY655432 UOU655431:UOU655432 UYQ655431:UYQ655432 VIM655431:VIM655432 VSI655431:VSI655432 WCE655431:WCE655432 WMA655431:WMA655432 WVW655431:WVW655432 O720967:O720968 JK720967:JK720968 TG720967:TG720968 ADC720967:ADC720968 AMY720967:AMY720968 AWU720967:AWU720968 BGQ720967:BGQ720968 BQM720967:BQM720968 CAI720967:CAI720968 CKE720967:CKE720968 CUA720967:CUA720968 DDW720967:DDW720968 DNS720967:DNS720968 DXO720967:DXO720968 EHK720967:EHK720968 ERG720967:ERG720968 FBC720967:FBC720968 FKY720967:FKY720968 FUU720967:FUU720968 GEQ720967:GEQ720968 GOM720967:GOM720968 GYI720967:GYI720968 HIE720967:HIE720968 HSA720967:HSA720968 IBW720967:IBW720968 ILS720967:ILS720968 IVO720967:IVO720968 JFK720967:JFK720968 JPG720967:JPG720968 JZC720967:JZC720968 KIY720967:KIY720968 KSU720967:KSU720968 LCQ720967:LCQ720968 LMM720967:LMM720968 LWI720967:LWI720968 MGE720967:MGE720968 MQA720967:MQA720968 MZW720967:MZW720968 NJS720967:NJS720968 NTO720967:NTO720968 ODK720967:ODK720968 ONG720967:ONG720968 OXC720967:OXC720968 PGY720967:PGY720968 PQU720967:PQU720968 QAQ720967:QAQ720968 QKM720967:QKM720968 QUI720967:QUI720968 REE720967:REE720968 ROA720967:ROA720968 RXW720967:RXW720968 SHS720967:SHS720968 SRO720967:SRO720968 TBK720967:TBK720968 TLG720967:TLG720968 TVC720967:TVC720968 UEY720967:UEY720968 UOU720967:UOU720968 UYQ720967:UYQ720968 VIM720967:VIM720968 VSI720967:VSI720968 WCE720967:WCE720968 WMA720967:WMA720968 WVW720967:WVW720968 O786503:O786504 JK786503:JK786504 TG786503:TG786504 ADC786503:ADC786504 AMY786503:AMY786504 AWU786503:AWU786504 BGQ786503:BGQ786504 BQM786503:BQM786504 CAI786503:CAI786504 CKE786503:CKE786504 CUA786503:CUA786504 DDW786503:DDW786504 DNS786503:DNS786504 DXO786503:DXO786504 EHK786503:EHK786504 ERG786503:ERG786504 FBC786503:FBC786504 FKY786503:FKY786504 FUU786503:FUU786504 GEQ786503:GEQ786504 GOM786503:GOM786504 GYI786503:GYI786504 HIE786503:HIE786504 HSA786503:HSA786504 IBW786503:IBW786504 ILS786503:ILS786504 IVO786503:IVO786504 JFK786503:JFK786504 JPG786503:JPG786504 JZC786503:JZC786504 KIY786503:KIY786504 KSU786503:KSU786504 LCQ786503:LCQ786504 LMM786503:LMM786504 LWI786503:LWI786504 MGE786503:MGE786504 MQA786503:MQA786504 MZW786503:MZW786504 NJS786503:NJS786504 NTO786503:NTO786504 ODK786503:ODK786504 ONG786503:ONG786504 OXC786503:OXC786504 PGY786503:PGY786504 PQU786503:PQU786504 QAQ786503:QAQ786504 QKM786503:QKM786504 QUI786503:QUI786504 REE786503:REE786504 ROA786503:ROA786504 RXW786503:RXW786504 SHS786503:SHS786504 SRO786503:SRO786504 TBK786503:TBK786504 TLG786503:TLG786504 TVC786503:TVC786504 UEY786503:UEY786504 UOU786503:UOU786504 UYQ786503:UYQ786504 VIM786503:VIM786504 VSI786503:VSI786504 WCE786503:WCE786504 WMA786503:WMA786504 WVW786503:WVW786504 O852039:O852040 JK852039:JK852040 TG852039:TG852040 ADC852039:ADC852040 AMY852039:AMY852040 AWU852039:AWU852040 BGQ852039:BGQ852040 BQM852039:BQM852040 CAI852039:CAI852040 CKE852039:CKE852040 CUA852039:CUA852040 DDW852039:DDW852040 DNS852039:DNS852040 DXO852039:DXO852040 EHK852039:EHK852040 ERG852039:ERG852040 FBC852039:FBC852040 FKY852039:FKY852040 FUU852039:FUU852040 GEQ852039:GEQ852040 GOM852039:GOM852040 GYI852039:GYI852040 HIE852039:HIE852040 HSA852039:HSA852040 IBW852039:IBW852040 ILS852039:ILS852040 IVO852039:IVO852040 JFK852039:JFK852040 JPG852039:JPG852040 JZC852039:JZC852040 KIY852039:KIY852040 KSU852039:KSU852040 LCQ852039:LCQ852040 LMM852039:LMM852040 LWI852039:LWI852040 MGE852039:MGE852040 MQA852039:MQA852040 MZW852039:MZW852040 NJS852039:NJS852040 NTO852039:NTO852040 ODK852039:ODK852040 ONG852039:ONG852040 OXC852039:OXC852040 PGY852039:PGY852040 PQU852039:PQU852040 QAQ852039:QAQ852040 QKM852039:QKM852040 QUI852039:QUI852040 REE852039:REE852040 ROA852039:ROA852040 RXW852039:RXW852040 SHS852039:SHS852040 SRO852039:SRO852040 TBK852039:TBK852040 TLG852039:TLG852040 TVC852039:TVC852040 UEY852039:UEY852040 UOU852039:UOU852040 UYQ852039:UYQ852040 VIM852039:VIM852040 VSI852039:VSI852040 WCE852039:WCE852040 WMA852039:WMA852040 WVW852039:WVW852040 O917575:O917576 JK917575:JK917576 TG917575:TG917576 ADC917575:ADC917576 AMY917575:AMY917576 AWU917575:AWU917576 BGQ917575:BGQ917576 BQM917575:BQM917576 CAI917575:CAI917576 CKE917575:CKE917576 CUA917575:CUA917576 DDW917575:DDW917576 DNS917575:DNS917576 DXO917575:DXO917576 EHK917575:EHK917576 ERG917575:ERG917576 FBC917575:FBC917576 FKY917575:FKY917576 FUU917575:FUU917576 GEQ917575:GEQ917576 GOM917575:GOM917576 GYI917575:GYI917576 HIE917575:HIE917576 HSA917575:HSA917576 IBW917575:IBW917576 ILS917575:ILS917576 IVO917575:IVO917576 JFK917575:JFK917576 JPG917575:JPG917576 JZC917575:JZC917576 KIY917575:KIY917576 KSU917575:KSU917576 LCQ917575:LCQ917576 LMM917575:LMM917576 LWI917575:LWI917576 MGE917575:MGE917576 MQA917575:MQA917576 MZW917575:MZW917576 NJS917575:NJS917576 NTO917575:NTO917576 ODK917575:ODK917576 ONG917575:ONG917576 OXC917575:OXC917576 PGY917575:PGY917576 PQU917575:PQU917576 QAQ917575:QAQ917576 QKM917575:QKM917576 QUI917575:QUI917576 REE917575:REE917576 ROA917575:ROA917576 RXW917575:RXW917576 SHS917575:SHS917576 SRO917575:SRO917576 TBK917575:TBK917576 TLG917575:TLG917576 TVC917575:TVC917576 UEY917575:UEY917576 UOU917575:UOU917576 UYQ917575:UYQ917576 VIM917575:VIM917576 VSI917575:VSI917576 WCE917575:WCE917576 WMA917575:WMA917576 WVW917575:WVW917576 O983111:O983112 JK983111:JK983112 TG983111:TG983112 ADC983111:ADC983112 AMY983111:AMY983112 AWU983111:AWU983112 BGQ983111:BGQ983112 BQM983111:BQM983112 CAI983111:CAI983112 CKE983111:CKE983112 CUA983111:CUA983112 DDW983111:DDW983112 DNS983111:DNS983112 DXO983111:DXO983112 EHK983111:EHK983112 ERG983111:ERG983112 FBC983111:FBC983112 FKY983111:FKY983112 FUU983111:FUU983112 GEQ983111:GEQ983112 GOM983111:GOM983112 GYI983111:GYI983112 HIE983111:HIE983112 HSA983111:HSA983112 IBW983111:IBW983112 ILS983111:ILS983112 IVO983111:IVO983112 JFK983111:JFK983112 JPG983111:JPG983112 JZC983111:JZC983112 KIY983111:KIY983112 KSU983111:KSU983112 LCQ983111:LCQ983112 LMM983111:LMM983112 LWI983111:LWI983112 MGE983111:MGE983112 MQA983111:MQA983112 MZW983111:MZW983112 NJS983111:NJS983112 NTO983111:NTO983112 ODK983111:ODK983112 ONG983111:ONG983112 OXC983111:OXC983112 PGY983111:PGY983112 PQU983111:PQU983112 QAQ983111:QAQ983112 QKM983111:QKM983112 QUI983111:QUI983112 REE983111:REE983112 ROA983111:ROA983112 RXW983111:RXW983112 SHS983111:SHS983112 SRO983111:SRO983112 TBK983111:TBK983112 TLG983111:TLG983112 TVC983111:TVC983112 UEY983111:UEY983112 UOU983111:UOU983112 UYQ983111:UYQ983112 VIM983111:VIM983112 VSI983111:VSI983112 WCE983111:WCE983112 WMA983111:WMA983112 WVW983111:WVW983112 BQM71:BQM77 O65610:O65616 JK65610:JK65616 TG65610:TG65616 ADC65610:ADC65616 AMY65610:AMY65616 AWU65610:AWU65616 BGQ65610:BGQ65616 BQM65610:BQM65616 CAI65610:CAI65616 CKE65610:CKE65616 CUA65610:CUA65616 DDW65610:DDW65616 DNS65610:DNS65616 DXO65610:DXO65616 EHK65610:EHK65616 ERG65610:ERG65616 FBC65610:FBC65616 FKY65610:FKY65616 FUU65610:FUU65616 GEQ65610:GEQ65616 GOM65610:GOM65616 GYI65610:GYI65616 HIE65610:HIE65616 HSA65610:HSA65616 IBW65610:IBW65616 ILS65610:ILS65616 IVO65610:IVO65616 JFK65610:JFK65616 JPG65610:JPG65616 JZC65610:JZC65616 KIY65610:KIY65616 KSU65610:KSU65616 LCQ65610:LCQ65616 LMM65610:LMM65616 LWI65610:LWI65616 MGE65610:MGE65616 MQA65610:MQA65616 MZW65610:MZW65616 NJS65610:NJS65616 NTO65610:NTO65616 ODK65610:ODK65616 ONG65610:ONG65616 OXC65610:OXC65616 PGY65610:PGY65616 PQU65610:PQU65616 QAQ65610:QAQ65616 QKM65610:QKM65616 QUI65610:QUI65616 REE65610:REE65616 ROA65610:ROA65616 RXW65610:RXW65616 SHS65610:SHS65616 SRO65610:SRO65616 TBK65610:TBK65616 TLG65610:TLG65616 TVC65610:TVC65616 UEY65610:UEY65616 UOU65610:UOU65616 UYQ65610:UYQ65616 VIM65610:VIM65616 VSI65610:VSI65616 WCE65610:WCE65616 WMA65610:WMA65616 WVW65610:WVW65616 O131146:O131152 JK131146:JK131152 TG131146:TG131152 ADC131146:ADC131152 AMY131146:AMY131152 AWU131146:AWU131152 BGQ131146:BGQ131152 BQM131146:BQM131152 CAI131146:CAI131152 CKE131146:CKE131152 CUA131146:CUA131152 DDW131146:DDW131152 DNS131146:DNS131152 DXO131146:DXO131152 EHK131146:EHK131152 ERG131146:ERG131152 FBC131146:FBC131152 FKY131146:FKY131152 FUU131146:FUU131152 GEQ131146:GEQ131152 GOM131146:GOM131152 GYI131146:GYI131152 HIE131146:HIE131152 HSA131146:HSA131152 IBW131146:IBW131152 ILS131146:ILS131152 IVO131146:IVO131152 JFK131146:JFK131152 JPG131146:JPG131152 JZC131146:JZC131152 KIY131146:KIY131152 KSU131146:KSU131152 LCQ131146:LCQ131152 LMM131146:LMM131152 LWI131146:LWI131152 MGE131146:MGE131152 MQA131146:MQA131152 MZW131146:MZW131152 NJS131146:NJS131152 NTO131146:NTO131152 ODK131146:ODK131152 ONG131146:ONG131152 OXC131146:OXC131152 PGY131146:PGY131152 PQU131146:PQU131152 QAQ131146:QAQ131152 QKM131146:QKM131152 QUI131146:QUI131152 REE131146:REE131152 ROA131146:ROA131152 RXW131146:RXW131152 SHS131146:SHS131152 SRO131146:SRO131152 TBK131146:TBK131152 TLG131146:TLG131152 TVC131146:TVC131152 UEY131146:UEY131152 UOU131146:UOU131152 UYQ131146:UYQ131152 VIM131146:VIM131152 VSI131146:VSI131152 WCE131146:WCE131152 WMA131146:WMA131152 WVW131146:WVW131152 O196682:O196688 JK196682:JK196688 TG196682:TG196688 ADC196682:ADC196688 AMY196682:AMY196688 AWU196682:AWU196688 BGQ196682:BGQ196688 BQM196682:BQM196688 CAI196682:CAI196688 CKE196682:CKE196688 CUA196682:CUA196688 DDW196682:DDW196688 DNS196682:DNS196688 DXO196682:DXO196688 EHK196682:EHK196688 ERG196682:ERG196688 FBC196682:FBC196688 FKY196682:FKY196688 FUU196682:FUU196688 GEQ196682:GEQ196688 GOM196682:GOM196688 GYI196682:GYI196688 HIE196682:HIE196688 HSA196682:HSA196688 IBW196682:IBW196688 ILS196682:ILS196688 IVO196682:IVO196688 JFK196682:JFK196688 JPG196682:JPG196688 JZC196682:JZC196688 KIY196682:KIY196688 KSU196682:KSU196688 LCQ196682:LCQ196688 LMM196682:LMM196688 LWI196682:LWI196688 MGE196682:MGE196688 MQA196682:MQA196688 MZW196682:MZW196688 NJS196682:NJS196688 NTO196682:NTO196688 ODK196682:ODK196688 ONG196682:ONG196688 OXC196682:OXC196688 PGY196682:PGY196688 PQU196682:PQU196688 QAQ196682:QAQ196688 QKM196682:QKM196688 QUI196682:QUI196688 REE196682:REE196688 ROA196682:ROA196688 RXW196682:RXW196688 SHS196682:SHS196688 SRO196682:SRO196688 TBK196682:TBK196688 TLG196682:TLG196688 TVC196682:TVC196688 UEY196682:UEY196688 UOU196682:UOU196688 UYQ196682:UYQ196688 VIM196682:VIM196688 VSI196682:VSI196688 WCE196682:WCE196688 WMA196682:WMA196688 WVW196682:WVW196688 O262218:O262224 JK262218:JK262224 TG262218:TG262224 ADC262218:ADC262224 AMY262218:AMY262224 AWU262218:AWU262224 BGQ262218:BGQ262224 BQM262218:BQM262224 CAI262218:CAI262224 CKE262218:CKE262224 CUA262218:CUA262224 DDW262218:DDW262224 DNS262218:DNS262224 DXO262218:DXO262224 EHK262218:EHK262224 ERG262218:ERG262224 FBC262218:FBC262224 FKY262218:FKY262224 FUU262218:FUU262224 GEQ262218:GEQ262224 GOM262218:GOM262224 GYI262218:GYI262224 HIE262218:HIE262224 HSA262218:HSA262224 IBW262218:IBW262224 ILS262218:ILS262224 IVO262218:IVO262224 JFK262218:JFK262224 JPG262218:JPG262224 JZC262218:JZC262224 KIY262218:KIY262224 KSU262218:KSU262224 LCQ262218:LCQ262224 LMM262218:LMM262224 LWI262218:LWI262224 MGE262218:MGE262224 MQA262218:MQA262224 MZW262218:MZW262224 NJS262218:NJS262224 NTO262218:NTO262224 ODK262218:ODK262224 ONG262218:ONG262224 OXC262218:OXC262224 PGY262218:PGY262224 PQU262218:PQU262224 QAQ262218:QAQ262224 QKM262218:QKM262224 QUI262218:QUI262224 REE262218:REE262224 ROA262218:ROA262224 RXW262218:RXW262224 SHS262218:SHS262224 SRO262218:SRO262224 TBK262218:TBK262224 TLG262218:TLG262224 TVC262218:TVC262224 UEY262218:UEY262224 UOU262218:UOU262224 UYQ262218:UYQ262224 VIM262218:VIM262224 VSI262218:VSI262224 WCE262218:WCE262224 WMA262218:WMA262224 WVW262218:WVW262224 O327754:O327760 JK327754:JK327760 TG327754:TG327760 ADC327754:ADC327760 AMY327754:AMY327760 AWU327754:AWU327760 BGQ327754:BGQ327760 BQM327754:BQM327760 CAI327754:CAI327760 CKE327754:CKE327760 CUA327754:CUA327760 DDW327754:DDW327760 DNS327754:DNS327760 DXO327754:DXO327760 EHK327754:EHK327760 ERG327754:ERG327760 FBC327754:FBC327760 FKY327754:FKY327760 FUU327754:FUU327760 GEQ327754:GEQ327760 GOM327754:GOM327760 GYI327754:GYI327760 HIE327754:HIE327760 HSA327754:HSA327760 IBW327754:IBW327760 ILS327754:ILS327760 IVO327754:IVO327760 JFK327754:JFK327760 JPG327754:JPG327760 JZC327754:JZC327760 KIY327754:KIY327760 KSU327754:KSU327760 LCQ327754:LCQ327760 LMM327754:LMM327760 LWI327754:LWI327760 MGE327754:MGE327760 MQA327754:MQA327760 MZW327754:MZW327760 NJS327754:NJS327760 NTO327754:NTO327760 ODK327754:ODK327760 ONG327754:ONG327760 OXC327754:OXC327760 PGY327754:PGY327760 PQU327754:PQU327760 QAQ327754:QAQ327760 QKM327754:QKM327760 QUI327754:QUI327760 REE327754:REE327760 ROA327754:ROA327760 RXW327754:RXW327760 SHS327754:SHS327760 SRO327754:SRO327760 TBK327754:TBK327760 TLG327754:TLG327760 TVC327754:TVC327760 UEY327754:UEY327760 UOU327754:UOU327760 UYQ327754:UYQ327760 VIM327754:VIM327760 VSI327754:VSI327760 WCE327754:WCE327760 WMA327754:WMA327760 WVW327754:WVW327760 O393290:O393296 JK393290:JK393296 TG393290:TG393296 ADC393290:ADC393296 AMY393290:AMY393296 AWU393290:AWU393296 BGQ393290:BGQ393296 BQM393290:BQM393296 CAI393290:CAI393296 CKE393290:CKE393296 CUA393290:CUA393296 DDW393290:DDW393296 DNS393290:DNS393296 DXO393290:DXO393296 EHK393290:EHK393296 ERG393290:ERG393296 FBC393290:FBC393296 FKY393290:FKY393296 FUU393290:FUU393296 GEQ393290:GEQ393296 GOM393290:GOM393296 GYI393290:GYI393296 HIE393290:HIE393296 HSA393290:HSA393296 IBW393290:IBW393296 ILS393290:ILS393296 IVO393290:IVO393296 JFK393290:JFK393296 JPG393290:JPG393296 JZC393290:JZC393296 KIY393290:KIY393296 KSU393290:KSU393296 LCQ393290:LCQ393296 LMM393290:LMM393296 LWI393290:LWI393296 MGE393290:MGE393296 MQA393290:MQA393296 MZW393290:MZW393296 NJS393290:NJS393296 NTO393290:NTO393296 ODK393290:ODK393296 ONG393290:ONG393296 OXC393290:OXC393296 PGY393290:PGY393296 PQU393290:PQU393296 QAQ393290:QAQ393296 QKM393290:QKM393296 QUI393290:QUI393296 REE393290:REE393296 ROA393290:ROA393296 RXW393290:RXW393296 SHS393290:SHS393296 SRO393290:SRO393296 TBK393290:TBK393296 TLG393290:TLG393296 TVC393290:TVC393296 UEY393290:UEY393296 UOU393290:UOU393296 UYQ393290:UYQ393296 VIM393290:VIM393296 VSI393290:VSI393296 WCE393290:WCE393296 WMA393290:WMA393296 WVW393290:WVW393296 O458826:O458832 JK458826:JK458832 TG458826:TG458832 ADC458826:ADC458832 AMY458826:AMY458832 AWU458826:AWU458832 BGQ458826:BGQ458832 BQM458826:BQM458832 CAI458826:CAI458832 CKE458826:CKE458832 CUA458826:CUA458832 DDW458826:DDW458832 DNS458826:DNS458832 DXO458826:DXO458832 EHK458826:EHK458832 ERG458826:ERG458832 FBC458826:FBC458832 FKY458826:FKY458832 FUU458826:FUU458832 GEQ458826:GEQ458832 GOM458826:GOM458832 GYI458826:GYI458832 HIE458826:HIE458832 HSA458826:HSA458832 IBW458826:IBW458832 ILS458826:ILS458832 IVO458826:IVO458832 JFK458826:JFK458832 JPG458826:JPG458832 JZC458826:JZC458832 KIY458826:KIY458832 KSU458826:KSU458832 LCQ458826:LCQ458832 LMM458826:LMM458832 LWI458826:LWI458832 MGE458826:MGE458832 MQA458826:MQA458832 MZW458826:MZW458832 NJS458826:NJS458832 NTO458826:NTO458832 ODK458826:ODK458832 ONG458826:ONG458832 OXC458826:OXC458832 PGY458826:PGY458832 PQU458826:PQU458832 QAQ458826:QAQ458832 QKM458826:QKM458832 QUI458826:QUI458832 REE458826:REE458832 ROA458826:ROA458832 RXW458826:RXW458832 SHS458826:SHS458832 SRO458826:SRO458832 TBK458826:TBK458832 TLG458826:TLG458832 TVC458826:TVC458832 UEY458826:UEY458832 UOU458826:UOU458832 UYQ458826:UYQ458832 VIM458826:VIM458832 VSI458826:VSI458832 WCE458826:WCE458832 WMA458826:WMA458832 WVW458826:WVW458832 O524362:O524368 JK524362:JK524368 TG524362:TG524368 ADC524362:ADC524368 AMY524362:AMY524368 AWU524362:AWU524368 BGQ524362:BGQ524368 BQM524362:BQM524368 CAI524362:CAI524368 CKE524362:CKE524368 CUA524362:CUA524368 DDW524362:DDW524368 DNS524362:DNS524368 DXO524362:DXO524368 EHK524362:EHK524368 ERG524362:ERG524368 FBC524362:FBC524368 FKY524362:FKY524368 FUU524362:FUU524368 GEQ524362:GEQ524368 GOM524362:GOM524368 GYI524362:GYI524368 HIE524362:HIE524368 HSA524362:HSA524368 IBW524362:IBW524368 ILS524362:ILS524368 IVO524362:IVO524368 JFK524362:JFK524368 JPG524362:JPG524368 JZC524362:JZC524368 KIY524362:KIY524368 KSU524362:KSU524368 LCQ524362:LCQ524368 LMM524362:LMM524368 LWI524362:LWI524368 MGE524362:MGE524368 MQA524362:MQA524368 MZW524362:MZW524368 NJS524362:NJS524368 NTO524362:NTO524368 ODK524362:ODK524368 ONG524362:ONG524368 OXC524362:OXC524368 PGY524362:PGY524368 PQU524362:PQU524368 QAQ524362:QAQ524368 QKM524362:QKM524368 QUI524362:QUI524368 REE524362:REE524368 ROA524362:ROA524368 RXW524362:RXW524368 SHS524362:SHS524368 SRO524362:SRO524368 TBK524362:TBK524368 TLG524362:TLG524368 TVC524362:TVC524368 UEY524362:UEY524368 UOU524362:UOU524368 UYQ524362:UYQ524368 VIM524362:VIM524368 VSI524362:VSI524368 WCE524362:WCE524368 WMA524362:WMA524368 WVW524362:WVW524368 O589898:O589904 JK589898:JK589904 TG589898:TG589904 ADC589898:ADC589904 AMY589898:AMY589904 AWU589898:AWU589904 BGQ589898:BGQ589904 BQM589898:BQM589904 CAI589898:CAI589904 CKE589898:CKE589904 CUA589898:CUA589904 DDW589898:DDW589904 DNS589898:DNS589904 DXO589898:DXO589904 EHK589898:EHK589904 ERG589898:ERG589904 FBC589898:FBC589904 FKY589898:FKY589904 FUU589898:FUU589904 GEQ589898:GEQ589904 GOM589898:GOM589904 GYI589898:GYI589904 HIE589898:HIE589904 HSA589898:HSA589904 IBW589898:IBW589904 ILS589898:ILS589904 IVO589898:IVO589904 JFK589898:JFK589904 JPG589898:JPG589904 JZC589898:JZC589904 KIY589898:KIY589904 KSU589898:KSU589904 LCQ589898:LCQ589904 LMM589898:LMM589904 LWI589898:LWI589904 MGE589898:MGE589904 MQA589898:MQA589904 MZW589898:MZW589904 NJS589898:NJS589904 NTO589898:NTO589904 ODK589898:ODK589904 ONG589898:ONG589904 OXC589898:OXC589904 PGY589898:PGY589904 PQU589898:PQU589904 QAQ589898:QAQ589904 QKM589898:QKM589904 QUI589898:QUI589904 REE589898:REE589904 ROA589898:ROA589904 RXW589898:RXW589904 SHS589898:SHS589904 SRO589898:SRO589904 TBK589898:TBK589904 TLG589898:TLG589904 TVC589898:TVC589904 UEY589898:UEY589904 UOU589898:UOU589904 UYQ589898:UYQ589904 VIM589898:VIM589904 VSI589898:VSI589904 WCE589898:WCE589904 WMA589898:WMA589904 WVW589898:WVW589904 O655434:O655440 JK655434:JK655440 TG655434:TG655440 ADC655434:ADC655440 AMY655434:AMY655440 AWU655434:AWU655440 BGQ655434:BGQ655440 BQM655434:BQM655440 CAI655434:CAI655440 CKE655434:CKE655440 CUA655434:CUA655440 DDW655434:DDW655440 DNS655434:DNS655440 DXO655434:DXO655440 EHK655434:EHK655440 ERG655434:ERG655440 FBC655434:FBC655440 FKY655434:FKY655440 FUU655434:FUU655440 GEQ655434:GEQ655440 GOM655434:GOM655440 GYI655434:GYI655440 HIE655434:HIE655440 HSA655434:HSA655440 IBW655434:IBW655440 ILS655434:ILS655440 IVO655434:IVO655440 JFK655434:JFK655440 JPG655434:JPG655440 JZC655434:JZC655440 KIY655434:KIY655440 KSU655434:KSU655440 LCQ655434:LCQ655440 LMM655434:LMM655440 LWI655434:LWI655440 MGE655434:MGE655440 MQA655434:MQA655440 MZW655434:MZW655440 NJS655434:NJS655440 NTO655434:NTO655440 ODK655434:ODK655440 ONG655434:ONG655440 OXC655434:OXC655440 PGY655434:PGY655440 PQU655434:PQU655440 QAQ655434:QAQ655440 QKM655434:QKM655440 QUI655434:QUI655440 REE655434:REE655440 ROA655434:ROA655440 RXW655434:RXW655440 SHS655434:SHS655440 SRO655434:SRO655440 TBK655434:TBK655440 TLG655434:TLG655440 TVC655434:TVC655440 UEY655434:UEY655440 UOU655434:UOU655440 UYQ655434:UYQ655440 VIM655434:VIM655440 VSI655434:VSI655440 WCE655434:WCE655440 WMA655434:WMA655440 WVW655434:WVW655440 O720970:O720976 JK720970:JK720976 TG720970:TG720976 ADC720970:ADC720976 AMY720970:AMY720976 AWU720970:AWU720976 BGQ720970:BGQ720976 BQM720970:BQM720976 CAI720970:CAI720976 CKE720970:CKE720976 CUA720970:CUA720976 DDW720970:DDW720976 DNS720970:DNS720976 DXO720970:DXO720976 EHK720970:EHK720976 ERG720970:ERG720976 FBC720970:FBC720976 FKY720970:FKY720976 FUU720970:FUU720976 GEQ720970:GEQ720976 GOM720970:GOM720976 GYI720970:GYI720976 HIE720970:HIE720976 HSA720970:HSA720976 IBW720970:IBW720976 ILS720970:ILS720976 IVO720970:IVO720976 JFK720970:JFK720976 JPG720970:JPG720976 JZC720970:JZC720976 KIY720970:KIY720976 KSU720970:KSU720976 LCQ720970:LCQ720976 LMM720970:LMM720976 LWI720970:LWI720976 MGE720970:MGE720976 MQA720970:MQA720976 MZW720970:MZW720976 NJS720970:NJS720976 NTO720970:NTO720976 ODK720970:ODK720976 ONG720970:ONG720976 OXC720970:OXC720976 PGY720970:PGY720976 PQU720970:PQU720976 QAQ720970:QAQ720976 QKM720970:QKM720976 QUI720970:QUI720976 REE720970:REE720976 ROA720970:ROA720976 RXW720970:RXW720976 SHS720970:SHS720976 SRO720970:SRO720976 TBK720970:TBK720976 TLG720970:TLG720976 TVC720970:TVC720976 UEY720970:UEY720976 UOU720970:UOU720976 UYQ720970:UYQ720976 VIM720970:VIM720976 VSI720970:VSI720976 WCE720970:WCE720976 WMA720970:WMA720976 WVW720970:WVW720976 O786506:O786512 JK786506:JK786512 TG786506:TG786512 ADC786506:ADC786512 AMY786506:AMY786512 AWU786506:AWU786512 BGQ786506:BGQ786512 BQM786506:BQM786512 CAI786506:CAI786512 CKE786506:CKE786512 CUA786506:CUA786512 DDW786506:DDW786512 DNS786506:DNS786512 DXO786506:DXO786512 EHK786506:EHK786512 ERG786506:ERG786512 FBC786506:FBC786512 FKY786506:FKY786512 FUU786506:FUU786512 GEQ786506:GEQ786512 GOM786506:GOM786512 GYI786506:GYI786512 HIE786506:HIE786512 HSA786506:HSA786512 IBW786506:IBW786512 ILS786506:ILS786512 IVO786506:IVO786512 JFK786506:JFK786512 JPG786506:JPG786512 JZC786506:JZC786512 KIY786506:KIY786512 KSU786506:KSU786512 LCQ786506:LCQ786512 LMM786506:LMM786512 LWI786506:LWI786512 MGE786506:MGE786512 MQA786506:MQA786512 MZW786506:MZW786512 NJS786506:NJS786512 NTO786506:NTO786512 ODK786506:ODK786512 ONG786506:ONG786512 OXC786506:OXC786512 PGY786506:PGY786512 PQU786506:PQU786512 QAQ786506:QAQ786512 QKM786506:QKM786512 QUI786506:QUI786512 REE786506:REE786512 ROA786506:ROA786512 RXW786506:RXW786512 SHS786506:SHS786512 SRO786506:SRO786512 TBK786506:TBK786512 TLG786506:TLG786512 TVC786506:TVC786512 UEY786506:UEY786512 UOU786506:UOU786512 UYQ786506:UYQ786512 VIM786506:VIM786512 VSI786506:VSI786512 WCE786506:WCE786512 WMA786506:WMA786512 WVW786506:WVW786512 O852042:O852048 JK852042:JK852048 TG852042:TG852048 ADC852042:ADC852048 AMY852042:AMY852048 AWU852042:AWU852048 BGQ852042:BGQ852048 BQM852042:BQM852048 CAI852042:CAI852048 CKE852042:CKE852048 CUA852042:CUA852048 DDW852042:DDW852048 DNS852042:DNS852048 DXO852042:DXO852048 EHK852042:EHK852048 ERG852042:ERG852048 FBC852042:FBC852048 FKY852042:FKY852048 FUU852042:FUU852048 GEQ852042:GEQ852048 GOM852042:GOM852048 GYI852042:GYI852048 HIE852042:HIE852048 HSA852042:HSA852048 IBW852042:IBW852048 ILS852042:ILS852048 IVO852042:IVO852048 JFK852042:JFK852048 JPG852042:JPG852048 JZC852042:JZC852048 KIY852042:KIY852048 KSU852042:KSU852048 LCQ852042:LCQ852048 LMM852042:LMM852048 LWI852042:LWI852048 MGE852042:MGE852048 MQA852042:MQA852048 MZW852042:MZW852048 NJS852042:NJS852048 NTO852042:NTO852048 ODK852042:ODK852048 ONG852042:ONG852048 OXC852042:OXC852048 PGY852042:PGY852048 PQU852042:PQU852048 QAQ852042:QAQ852048 QKM852042:QKM852048 QUI852042:QUI852048 REE852042:REE852048 ROA852042:ROA852048 RXW852042:RXW852048 SHS852042:SHS852048 SRO852042:SRO852048 TBK852042:TBK852048 TLG852042:TLG852048 TVC852042:TVC852048 UEY852042:UEY852048 UOU852042:UOU852048 UYQ852042:UYQ852048 VIM852042:VIM852048 VSI852042:VSI852048 WCE852042:WCE852048 WMA852042:WMA852048 WVW852042:WVW852048 O917578:O917584 JK917578:JK917584 TG917578:TG917584 ADC917578:ADC917584 AMY917578:AMY917584 AWU917578:AWU917584 BGQ917578:BGQ917584 BQM917578:BQM917584 CAI917578:CAI917584 CKE917578:CKE917584 CUA917578:CUA917584 DDW917578:DDW917584 DNS917578:DNS917584 DXO917578:DXO917584 EHK917578:EHK917584 ERG917578:ERG917584 FBC917578:FBC917584 FKY917578:FKY917584 FUU917578:FUU917584 GEQ917578:GEQ917584 GOM917578:GOM917584 GYI917578:GYI917584 HIE917578:HIE917584 HSA917578:HSA917584 IBW917578:IBW917584 ILS917578:ILS917584 IVO917578:IVO917584 JFK917578:JFK917584 JPG917578:JPG917584 JZC917578:JZC917584 KIY917578:KIY917584 KSU917578:KSU917584 LCQ917578:LCQ917584 LMM917578:LMM917584 LWI917578:LWI917584 MGE917578:MGE917584 MQA917578:MQA917584 MZW917578:MZW917584 NJS917578:NJS917584 NTO917578:NTO917584 ODK917578:ODK917584 ONG917578:ONG917584 OXC917578:OXC917584 PGY917578:PGY917584 PQU917578:PQU917584 QAQ917578:QAQ917584 QKM917578:QKM917584 QUI917578:QUI917584 REE917578:REE917584 ROA917578:ROA917584 RXW917578:RXW917584 SHS917578:SHS917584 SRO917578:SRO917584 TBK917578:TBK917584 TLG917578:TLG917584 TVC917578:TVC917584 UEY917578:UEY917584 UOU917578:UOU917584 UYQ917578:UYQ917584 VIM917578:VIM917584 VSI917578:VSI917584 WCE917578:WCE917584 WMA917578:WMA917584 WVW917578:WVW917584 O983114:O983120 JK983114:JK983120 TG983114:TG983120 ADC983114:ADC983120 AMY983114:AMY983120 AWU983114:AWU983120 BGQ983114:BGQ983120 BQM983114:BQM983120 CAI983114:CAI983120 CKE983114:CKE983120 CUA983114:CUA983120 DDW983114:DDW983120 DNS983114:DNS983120 DXO983114:DXO983120 EHK983114:EHK983120 ERG983114:ERG983120 FBC983114:FBC983120 FKY983114:FKY983120 FUU983114:FUU983120 GEQ983114:GEQ983120 GOM983114:GOM983120 GYI983114:GYI983120 HIE983114:HIE983120 HSA983114:HSA983120 IBW983114:IBW983120 ILS983114:ILS983120 IVO983114:IVO983120 JFK983114:JFK983120 JPG983114:JPG983120 JZC983114:JZC983120 KIY983114:KIY983120 KSU983114:KSU983120 LCQ983114:LCQ983120 LMM983114:LMM983120 LWI983114:LWI983120 MGE983114:MGE983120 MQA983114:MQA983120 MZW983114:MZW983120 NJS983114:NJS983120 NTO983114:NTO983120 ODK983114:ODK983120 ONG983114:ONG983120 OXC983114:OXC983120 PGY983114:PGY983120 PQU983114:PQU983120 QAQ983114:QAQ983120 QKM983114:QKM983120 QUI983114:QUI983120 REE983114:REE983120 ROA983114:ROA983120 RXW983114:RXW983120 SHS983114:SHS983120 SRO983114:SRO983120 TBK983114:TBK983120 TLG983114:TLG983120 TVC983114:TVC983120 UEY983114:UEY983120 UOU983114:UOU983120 UYQ983114:UYQ983120 VIM983114:VIM983120 VSI983114:VSI983120 WCE983114:WCE983120 WMA983114:WMA983120 WVW983114:WVW983120 DNS71:DNS77 JR68:JR69 TN68:TN69 ADJ68:ADJ69 ANF68:ANF69 AXB68:AXB69 BGX68:BGX69 BQT68:BQT69 CAP68:CAP69 CKL68:CKL69 CUH68:CUH69 DED68:DED69 DNZ68:DNZ69 DXV68:DXV69 EHR68:EHR69 ERN68:ERN69 FBJ68:FBJ69 FLF68:FLF69 FVB68:FVB69 GEX68:GEX69 GOT68:GOT69 GYP68:GYP69 HIL68:HIL69 HSH68:HSH69 ICD68:ICD69 ILZ68:ILZ69 IVV68:IVV69 JFR68:JFR69 JPN68:JPN69 JZJ68:JZJ69 KJF68:KJF69 KTB68:KTB69 LCX68:LCX69 LMT68:LMT69 LWP68:LWP69 MGL68:MGL69 MQH68:MQH69 NAD68:NAD69 NJZ68:NJZ69 NTV68:NTV69 ODR68:ODR69 ONN68:ONN69 OXJ68:OXJ69 PHF68:PHF69 PRB68:PRB69 QAX68:QAX69 QKT68:QKT69 QUP68:QUP69 REL68:REL69 ROH68:ROH69 RYD68:RYD69 SHZ68:SHZ69 SRV68:SRV69 TBR68:TBR69 TLN68:TLN69 TVJ68:TVJ69 UFF68:UFF69 UPB68:UPB69 UYX68:UYX69 VIT68:VIT69 VSP68:VSP69 WCL68:WCL69 WMH68:WMH69 WWD68:WWD69 V65607:V65608 JR65607:JR65608 TN65607:TN65608 ADJ65607:ADJ65608 ANF65607:ANF65608 AXB65607:AXB65608 BGX65607:BGX65608 BQT65607:BQT65608 CAP65607:CAP65608 CKL65607:CKL65608 CUH65607:CUH65608 DED65607:DED65608 DNZ65607:DNZ65608 DXV65607:DXV65608 EHR65607:EHR65608 ERN65607:ERN65608 FBJ65607:FBJ65608 FLF65607:FLF65608 FVB65607:FVB65608 GEX65607:GEX65608 GOT65607:GOT65608 GYP65607:GYP65608 HIL65607:HIL65608 HSH65607:HSH65608 ICD65607:ICD65608 ILZ65607:ILZ65608 IVV65607:IVV65608 JFR65607:JFR65608 JPN65607:JPN65608 JZJ65607:JZJ65608 KJF65607:KJF65608 KTB65607:KTB65608 LCX65607:LCX65608 LMT65607:LMT65608 LWP65607:LWP65608 MGL65607:MGL65608 MQH65607:MQH65608 NAD65607:NAD65608 NJZ65607:NJZ65608 NTV65607:NTV65608 ODR65607:ODR65608 ONN65607:ONN65608 OXJ65607:OXJ65608 PHF65607:PHF65608 PRB65607:PRB65608 QAX65607:QAX65608 QKT65607:QKT65608 QUP65607:QUP65608 REL65607:REL65608 ROH65607:ROH65608 RYD65607:RYD65608 SHZ65607:SHZ65608 SRV65607:SRV65608 TBR65607:TBR65608 TLN65607:TLN65608 TVJ65607:TVJ65608 UFF65607:UFF65608 UPB65607:UPB65608 UYX65607:UYX65608 VIT65607:VIT65608 VSP65607:VSP65608 WCL65607:WCL65608 WMH65607:WMH65608 WWD65607:WWD65608 V131143:V131144 JR131143:JR131144 TN131143:TN131144 ADJ131143:ADJ131144 ANF131143:ANF131144 AXB131143:AXB131144 BGX131143:BGX131144 BQT131143:BQT131144 CAP131143:CAP131144 CKL131143:CKL131144 CUH131143:CUH131144 DED131143:DED131144 DNZ131143:DNZ131144 DXV131143:DXV131144 EHR131143:EHR131144 ERN131143:ERN131144 FBJ131143:FBJ131144 FLF131143:FLF131144 FVB131143:FVB131144 GEX131143:GEX131144 GOT131143:GOT131144 GYP131143:GYP131144 HIL131143:HIL131144 HSH131143:HSH131144 ICD131143:ICD131144 ILZ131143:ILZ131144 IVV131143:IVV131144 JFR131143:JFR131144 JPN131143:JPN131144 JZJ131143:JZJ131144 KJF131143:KJF131144 KTB131143:KTB131144 LCX131143:LCX131144 LMT131143:LMT131144 LWP131143:LWP131144 MGL131143:MGL131144 MQH131143:MQH131144 NAD131143:NAD131144 NJZ131143:NJZ131144 NTV131143:NTV131144 ODR131143:ODR131144 ONN131143:ONN131144 OXJ131143:OXJ131144 PHF131143:PHF131144 PRB131143:PRB131144 QAX131143:QAX131144 QKT131143:QKT131144 QUP131143:QUP131144 REL131143:REL131144 ROH131143:ROH131144 RYD131143:RYD131144 SHZ131143:SHZ131144 SRV131143:SRV131144 TBR131143:TBR131144 TLN131143:TLN131144 TVJ131143:TVJ131144 UFF131143:UFF131144 UPB131143:UPB131144 UYX131143:UYX131144 VIT131143:VIT131144 VSP131143:VSP131144 WCL131143:WCL131144 WMH131143:WMH131144 WWD131143:WWD131144 V196679:V196680 JR196679:JR196680 TN196679:TN196680 ADJ196679:ADJ196680 ANF196679:ANF196680 AXB196679:AXB196680 BGX196679:BGX196680 BQT196679:BQT196680 CAP196679:CAP196680 CKL196679:CKL196680 CUH196679:CUH196680 DED196679:DED196680 DNZ196679:DNZ196680 DXV196679:DXV196680 EHR196679:EHR196680 ERN196679:ERN196680 FBJ196679:FBJ196680 FLF196679:FLF196680 FVB196679:FVB196680 GEX196679:GEX196680 GOT196679:GOT196680 GYP196679:GYP196680 HIL196679:HIL196680 HSH196679:HSH196680 ICD196679:ICD196680 ILZ196679:ILZ196680 IVV196679:IVV196680 JFR196679:JFR196680 JPN196679:JPN196680 JZJ196679:JZJ196680 KJF196679:KJF196680 KTB196679:KTB196680 LCX196679:LCX196680 LMT196679:LMT196680 LWP196679:LWP196680 MGL196679:MGL196680 MQH196679:MQH196680 NAD196679:NAD196680 NJZ196679:NJZ196680 NTV196679:NTV196680 ODR196679:ODR196680 ONN196679:ONN196680 OXJ196679:OXJ196680 PHF196679:PHF196680 PRB196679:PRB196680 QAX196679:QAX196680 QKT196679:QKT196680 QUP196679:QUP196680 REL196679:REL196680 ROH196679:ROH196680 RYD196679:RYD196680 SHZ196679:SHZ196680 SRV196679:SRV196680 TBR196679:TBR196680 TLN196679:TLN196680 TVJ196679:TVJ196680 UFF196679:UFF196680 UPB196679:UPB196680 UYX196679:UYX196680 VIT196679:VIT196680 VSP196679:VSP196680 WCL196679:WCL196680 WMH196679:WMH196680 WWD196679:WWD196680 V262215:V262216 JR262215:JR262216 TN262215:TN262216 ADJ262215:ADJ262216 ANF262215:ANF262216 AXB262215:AXB262216 BGX262215:BGX262216 BQT262215:BQT262216 CAP262215:CAP262216 CKL262215:CKL262216 CUH262215:CUH262216 DED262215:DED262216 DNZ262215:DNZ262216 DXV262215:DXV262216 EHR262215:EHR262216 ERN262215:ERN262216 FBJ262215:FBJ262216 FLF262215:FLF262216 FVB262215:FVB262216 GEX262215:GEX262216 GOT262215:GOT262216 GYP262215:GYP262216 HIL262215:HIL262216 HSH262215:HSH262216 ICD262215:ICD262216 ILZ262215:ILZ262216 IVV262215:IVV262216 JFR262215:JFR262216 JPN262215:JPN262216 JZJ262215:JZJ262216 KJF262215:KJF262216 KTB262215:KTB262216 LCX262215:LCX262216 LMT262215:LMT262216 LWP262215:LWP262216 MGL262215:MGL262216 MQH262215:MQH262216 NAD262215:NAD262216 NJZ262215:NJZ262216 NTV262215:NTV262216 ODR262215:ODR262216 ONN262215:ONN262216 OXJ262215:OXJ262216 PHF262215:PHF262216 PRB262215:PRB262216 QAX262215:QAX262216 QKT262215:QKT262216 QUP262215:QUP262216 REL262215:REL262216 ROH262215:ROH262216 RYD262215:RYD262216 SHZ262215:SHZ262216 SRV262215:SRV262216 TBR262215:TBR262216 TLN262215:TLN262216 TVJ262215:TVJ262216 UFF262215:UFF262216 UPB262215:UPB262216 UYX262215:UYX262216 VIT262215:VIT262216 VSP262215:VSP262216 WCL262215:WCL262216 WMH262215:WMH262216 WWD262215:WWD262216 V327751:V327752 JR327751:JR327752 TN327751:TN327752 ADJ327751:ADJ327752 ANF327751:ANF327752 AXB327751:AXB327752 BGX327751:BGX327752 BQT327751:BQT327752 CAP327751:CAP327752 CKL327751:CKL327752 CUH327751:CUH327752 DED327751:DED327752 DNZ327751:DNZ327752 DXV327751:DXV327752 EHR327751:EHR327752 ERN327751:ERN327752 FBJ327751:FBJ327752 FLF327751:FLF327752 FVB327751:FVB327752 GEX327751:GEX327752 GOT327751:GOT327752 GYP327751:GYP327752 HIL327751:HIL327752 HSH327751:HSH327752 ICD327751:ICD327752 ILZ327751:ILZ327752 IVV327751:IVV327752 JFR327751:JFR327752 JPN327751:JPN327752 JZJ327751:JZJ327752 KJF327751:KJF327752 KTB327751:KTB327752 LCX327751:LCX327752 LMT327751:LMT327752 LWP327751:LWP327752 MGL327751:MGL327752 MQH327751:MQH327752 NAD327751:NAD327752 NJZ327751:NJZ327752 NTV327751:NTV327752 ODR327751:ODR327752 ONN327751:ONN327752 OXJ327751:OXJ327752 PHF327751:PHF327752 PRB327751:PRB327752 QAX327751:QAX327752 QKT327751:QKT327752 QUP327751:QUP327752 REL327751:REL327752 ROH327751:ROH327752 RYD327751:RYD327752 SHZ327751:SHZ327752 SRV327751:SRV327752 TBR327751:TBR327752 TLN327751:TLN327752 TVJ327751:TVJ327752 UFF327751:UFF327752 UPB327751:UPB327752 UYX327751:UYX327752 VIT327751:VIT327752 VSP327751:VSP327752 WCL327751:WCL327752 WMH327751:WMH327752 WWD327751:WWD327752 V393287:V393288 JR393287:JR393288 TN393287:TN393288 ADJ393287:ADJ393288 ANF393287:ANF393288 AXB393287:AXB393288 BGX393287:BGX393288 BQT393287:BQT393288 CAP393287:CAP393288 CKL393287:CKL393288 CUH393287:CUH393288 DED393287:DED393288 DNZ393287:DNZ393288 DXV393287:DXV393288 EHR393287:EHR393288 ERN393287:ERN393288 FBJ393287:FBJ393288 FLF393287:FLF393288 FVB393287:FVB393288 GEX393287:GEX393288 GOT393287:GOT393288 GYP393287:GYP393288 HIL393287:HIL393288 HSH393287:HSH393288 ICD393287:ICD393288 ILZ393287:ILZ393288 IVV393287:IVV393288 JFR393287:JFR393288 JPN393287:JPN393288 JZJ393287:JZJ393288 KJF393287:KJF393288 KTB393287:KTB393288 LCX393287:LCX393288 LMT393287:LMT393288 LWP393287:LWP393288 MGL393287:MGL393288 MQH393287:MQH393288 NAD393287:NAD393288 NJZ393287:NJZ393288 NTV393287:NTV393288 ODR393287:ODR393288 ONN393287:ONN393288 OXJ393287:OXJ393288 PHF393287:PHF393288 PRB393287:PRB393288 QAX393287:QAX393288 QKT393287:QKT393288 QUP393287:QUP393288 REL393287:REL393288 ROH393287:ROH393288 RYD393287:RYD393288 SHZ393287:SHZ393288 SRV393287:SRV393288 TBR393287:TBR393288 TLN393287:TLN393288 TVJ393287:TVJ393288 UFF393287:UFF393288 UPB393287:UPB393288 UYX393287:UYX393288 VIT393287:VIT393288 VSP393287:VSP393288 WCL393287:WCL393288 WMH393287:WMH393288 WWD393287:WWD393288 V458823:V458824 JR458823:JR458824 TN458823:TN458824 ADJ458823:ADJ458824 ANF458823:ANF458824 AXB458823:AXB458824 BGX458823:BGX458824 BQT458823:BQT458824 CAP458823:CAP458824 CKL458823:CKL458824 CUH458823:CUH458824 DED458823:DED458824 DNZ458823:DNZ458824 DXV458823:DXV458824 EHR458823:EHR458824 ERN458823:ERN458824 FBJ458823:FBJ458824 FLF458823:FLF458824 FVB458823:FVB458824 GEX458823:GEX458824 GOT458823:GOT458824 GYP458823:GYP458824 HIL458823:HIL458824 HSH458823:HSH458824 ICD458823:ICD458824 ILZ458823:ILZ458824 IVV458823:IVV458824 JFR458823:JFR458824 JPN458823:JPN458824 JZJ458823:JZJ458824 KJF458823:KJF458824 KTB458823:KTB458824 LCX458823:LCX458824 LMT458823:LMT458824 LWP458823:LWP458824 MGL458823:MGL458824 MQH458823:MQH458824 NAD458823:NAD458824 NJZ458823:NJZ458824 NTV458823:NTV458824 ODR458823:ODR458824 ONN458823:ONN458824 OXJ458823:OXJ458824 PHF458823:PHF458824 PRB458823:PRB458824 QAX458823:QAX458824 QKT458823:QKT458824 QUP458823:QUP458824 REL458823:REL458824 ROH458823:ROH458824 RYD458823:RYD458824 SHZ458823:SHZ458824 SRV458823:SRV458824 TBR458823:TBR458824 TLN458823:TLN458824 TVJ458823:TVJ458824 UFF458823:UFF458824 UPB458823:UPB458824 UYX458823:UYX458824 VIT458823:VIT458824 VSP458823:VSP458824 WCL458823:WCL458824 WMH458823:WMH458824 WWD458823:WWD458824 V524359:V524360 JR524359:JR524360 TN524359:TN524360 ADJ524359:ADJ524360 ANF524359:ANF524360 AXB524359:AXB524360 BGX524359:BGX524360 BQT524359:BQT524360 CAP524359:CAP524360 CKL524359:CKL524360 CUH524359:CUH524360 DED524359:DED524360 DNZ524359:DNZ524360 DXV524359:DXV524360 EHR524359:EHR524360 ERN524359:ERN524360 FBJ524359:FBJ524360 FLF524359:FLF524360 FVB524359:FVB524360 GEX524359:GEX524360 GOT524359:GOT524360 GYP524359:GYP524360 HIL524359:HIL524360 HSH524359:HSH524360 ICD524359:ICD524360 ILZ524359:ILZ524360 IVV524359:IVV524360 JFR524359:JFR524360 JPN524359:JPN524360 JZJ524359:JZJ524360 KJF524359:KJF524360 KTB524359:KTB524360 LCX524359:LCX524360 LMT524359:LMT524360 LWP524359:LWP524360 MGL524359:MGL524360 MQH524359:MQH524360 NAD524359:NAD524360 NJZ524359:NJZ524360 NTV524359:NTV524360 ODR524359:ODR524360 ONN524359:ONN524360 OXJ524359:OXJ524360 PHF524359:PHF524360 PRB524359:PRB524360 QAX524359:QAX524360 QKT524359:QKT524360 QUP524359:QUP524360 REL524359:REL524360 ROH524359:ROH524360 RYD524359:RYD524360 SHZ524359:SHZ524360 SRV524359:SRV524360 TBR524359:TBR524360 TLN524359:TLN524360 TVJ524359:TVJ524360 UFF524359:UFF524360 UPB524359:UPB524360 UYX524359:UYX524360 VIT524359:VIT524360 VSP524359:VSP524360 WCL524359:WCL524360 WMH524359:WMH524360 WWD524359:WWD524360 V589895:V589896 JR589895:JR589896 TN589895:TN589896 ADJ589895:ADJ589896 ANF589895:ANF589896 AXB589895:AXB589896 BGX589895:BGX589896 BQT589895:BQT589896 CAP589895:CAP589896 CKL589895:CKL589896 CUH589895:CUH589896 DED589895:DED589896 DNZ589895:DNZ589896 DXV589895:DXV589896 EHR589895:EHR589896 ERN589895:ERN589896 FBJ589895:FBJ589896 FLF589895:FLF589896 FVB589895:FVB589896 GEX589895:GEX589896 GOT589895:GOT589896 GYP589895:GYP589896 HIL589895:HIL589896 HSH589895:HSH589896 ICD589895:ICD589896 ILZ589895:ILZ589896 IVV589895:IVV589896 JFR589895:JFR589896 JPN589895:JPN589896 JZJ589895:JZJ589896 KJF589895:KJF589896 KTB589895:KTB589896 LCX589895:LCX589896 LMT589895:LMT589896 LWP589895:LWP589896 MGL589895:MGL589896 MQH589895:MQH589896 NAD589895:NAD589896 NJZ589895:NJZ589896 NTV589895:NTV589896 ODR589895:ODR589896 ONN589895:ONN589896 OXJ589895:OXJ589896 PHF589895:PHF589896 PRB589895:PRB589896 QAX589895:QAX589896 QKT589895:QKT589896 QUP589895:QUP589896 REL589895:REL589896 ROH589895:ROH589896 RYD589895:RYD589896 SHZ589895:SHZ589896 SRV589895:SRV589896 TBR589895:TBR589896 TLN589895:TLN589896 TVJ589895:TVJ589896 UFF589895:UFF589896 UPB589895:UPB589896 UYX589895:UYX589896 VIT589895:VIT589896 VSP589895:VSP589896 WCL589895:WCL589896 WMH589895:WMH589896 WWD589895:WWD589896 V655431:V655432 JR655431:JR655432 TN655431:TN655432 ADJ655431:ADJ655432 ANF655431:ANF655432 AXB655431:AXB655432 BGX655431:BGX655432 BQT655431:BQT655432 CAP655431:CAP655432 CKL655431:CKL655432 CUH655431:CUH655432 DED655431:DED655432 DNZ655431:DNZ655432 DXV655431:DXV655432 EHR655431:EHR655432 ERN655431:ERN655432 FBJ655431:FBJ655432 FLF655431:FLF655432 FVB655431:FVB655432 GEX655431:GEX655432 GOT655431:GOT655432 GYP655431:GYP655432 HIL655431:HIL655432 HSH655431:HSH655432 ICD655431:ICD655432 ILZ655431:ILZ655432 IVV655431:IVV655432 JFR655431:JFR655432 JPN655431:JPN655432 JZJ655431:JZJ655432 KJF655431:KJF655432 KTB655431:KTB655432 LCX655431:LCX655432 LMT655431:LMT655432 LWP655431:LWP655432 MGL655431:MGL655432 MQH655431:MQH655432 NAD655431:NAD655432 NJZ655431:NJZ655432 NTV655431:NTV655432 ODR655431:ODR655432 ONN655431:ONN655432 OXJ655431:OXJ655432 PHF655431:PHF655432 PRB655431:PRB655432 QAX655431:QAX655432 QKT655431:QKT655432 QUP655431:QUP655432 REL655431:REL655432 ROH655431:ROH655432 RYD655431:RYD655432 SHZ655431:SHZ655432 SRV655431:SRV655432 TBR655431:TBR655432 TLN655431:TLN655432 TVJ655431:TVJ655432 UFF655431:UFF655432 UPB655431:UPB655432 UYX655431:UYX655432 VIT655431:VIT655432 VSP655431:VSP655432 WCL655431:WCL655432 WMH655431:WMH655432 WWD655431:WWD655432 V720967:V720968 JR720967:JR720968 TN720967:TN720968 ADJ720967:ADJ720968 ANF720967:ANF720968 AXB720967:AXB720968 BGX720967:BGX720968 BQT720967:BQT720968 CAP720967:CAP720968 CKL720967:CKL720968 CUH720967:CUH720968 DED720967:DED720968 DNZ720967:DNZ720968 DXV720967:DXV720968 EHR720967:EHR720968 ERN720967:ERN720968 FBJ720967:FBJ720968 FLF720967:FLF720968 FVB720967:FVB720968 GEX720967:GEX720968 GOT720967:GOT720968 GYP720967:GYP720968 HIL720967:HIL720968 HSH720967:HSH720968 ICD720967:ICD720968 ILZ720967:ILZ720968 IVV720967:IVV720968 JFR720967:JFR720968 JPN720967:JPN720968 JZJ720967:JZJ720968 KJF720967:KJF720968 KTB720967:KTB720968 LCX720967:LCX720968 LMT720967:LMT720968 LWP720967:LWP720968 MGL720967:MGL720968 MQH720967:MQH720968 NAD720967:NAD720968 NJZ720967:NJZ720968 NTV720967:NTV720968 ODR720967:ODR720968 ONN720967:ONN720968 OXJ720967:OXJ720968 PHF720967:PHF720968 PRB720967:PRB720968 QAX720967:QAX720968 QKT720967:QKT720968 QUP720967:QUP720968 REL720967:REL720968 ROH720967:ROH720968 RYD720967:RYD720968 SHZ720967:SHZ720968 SRV720967:SRV720968 TBR720967:TBR720968 TLN720967:TLN720968 TVJ720967:TVJ720968 UFF720967:UFF720968 UPB720967:UPB720968 UYX720967:UYX720968 VIT720967:VIT720968 VSP720967:VSP720968 WCL720967:WCL720968 WMH720967:WMH720968 WWD720967:WWD720968 V786503:V786504 JR786503:JR786504 TN786503:TN786504 ADJ786503:ADJ786504 ANF786503:ANF786504 AXB786503:AXB786504 BGX786503:BGX786504 BQT786503:BQT786504 CAP786503:CAP786504 CKL786503:CKL786504 CUH786503:CUH786504 DED786503:DED786504 DNZ786503:DNZ786504 DXV786503:DXV786504 EHR786503:EHR786504 ERN786503:ERN786504 FBJ786503:FBJ786504 FLF786503:FLF786504 FVB786503:FVB786504 GEX786503:GEX786504 GOT786503:GOT786504 GYP786503:GYP786504 HIL786503:HIL786504 HSH786503:HSH786504 ICD786503:ICD786504 ILZ786503:ILZ786504 IVV786503:IVV786504 JFR786503:JFR786504 JPN786503:JPN786504 JZJ786503:JZJ786504 KJF786503:KJF786504 KTB786503:KTB786504 LCX786503:LCX786504 LMT786503:LMT786504 LWP786503:LWP786504 MGL786503:MGL786504 MQH786503:MQH786504 NAD786503:NAD786504 NJZ786503:NJZ786504 NTV786503:NTV786504 ODR786503:ODR786504 ONN786503:ONN786504 OXJ786503:OXJ786504 PHF786503:PHF786504 PRB786503:PRB786504 QAX786503:QAX786504 QKT786503:QKT786504 QUP786503:QUP786504 REL786503:REL786504 ROH786503:ROH786504 RYD786503:RYD786504 SHZ786503:SHZ786504 SRV786503:SRV786504 TBR786503:TBR786504 TLN786503:TLN786504 TVJ786503:TVJ786504 UFF786503:UFF786504 UPB786503:UPB786504 UYX786503:UYX786504 VIT786503:VIT786504 VSP786503:VSP786504 WCL786503:WCL786504 WMH786503:WMH786504 WWD786503:WWD786504 V852039:V852040 JR852039:JR852040 TN852039:TN852040 ADJ852039:ADJ852040 ANF852039:ANF852040 AXB852039:AXB852040 BGX852039:BGX852040 BQT852039:BQT852040 CAP852039:CAP852040 CKL852039:CKL852040 CUH852039:CUH852040 DED852039:DED852040 DNZ852039:DNZ852040 DXV852039:DXV852040 EHR852039:EHR852040 ERN852039:ERN852040 FBJ852039:FBJ852040 FLF852039:FLF852040 FVB852039:FVB852040 GEX852039:GEX852040 GOT852039:GOT852040 GYP852039:GYP852040 HIL852039:HIL852040 HSH852039:HSH852040 ICD852039:ICD852040 ILZ852039:ILZ852040 IVV852039:IVV852040 JFR852039:JFR852040 JPN852039:JPN852040 JZJ852039:JZJ852040 KJF852039:KJF852040 KTB852039:KTB852040 LCX852039:LCX852040 LMT852039:LMT852040 LWP852039:LWP852040 MGL852039:MGL852040 MQH852039:MQH852040 NAD852039:NAD852040 NJZ852039:NJZ852040 NTV852039:NTV852040 ODR852039:ODR852040 ONN852039:ONN852040 OXJ852039:OXJ852040 PHF852039:PHF852040 PRB852039:PRB852040 QAX852039:QAX852040 QKT852039:QKT852040 QUP852039:QUP852040 REL852039:REL852040 ROH852039:ROH852040 RYD852039:RYD852040 SHZ852039:SHZ852040 SRV852039:SRV852040 TBR852039:TBR852040 TLN852039:TLN852040 TVJ852039:TVJ852040 UFF852039:UFF852040 UPB852039:UPB852040 UYX852039:UYX852040 VIT852039:VIT852040 VSP852039:VSP852040 WCL852039:WCL852040 WMH852039:WMH852040 WWD852039:WWD852040 V917575:V917576 JR917575:JR917576 TN917575:TN917576 ADJ917575:ADJ917576 ANF917575:ANF917576 AXB917575:AXB917576 BGX917575:BGX917576 BQT917575:BQT917576 CAP917575:CAP917576 CKL917575:CKL917576 CUH917575:CUH917576 DED917575:DED917576 DNZ917575:DNZ917576 DXV917575:DXV917576 EHR917575:EHR917576 ERN917575:ERN917576 FBJ917575:FBJ917576 FLF917575:FLF917576 FVB917575:FVB917576 GEX917575:GEX917576 GOT917575:GOT917576 GYP917575:GYP917576 HIL917575:HIL917576 HSH917575:HSH917576 ICD917575:ICD917576 ILZ917575:ILZ917576 IVV917575:IVV917576 JFR917575:JFR917576 JPN917575:JPN917576 JZJ917575:JZJ917576 KJF917575:KJF917576 KTB917575:KTB917576 LCX917575:LCX917576 LMT917575:LMT917576 LWP917575:LWP917576 MGL917575:MGL917576 MQH917575:MQH917576 NAD917575:NAD917576 NJZ917575:NJZ917576 NTV917575:NTV917576 ODR917575:ODR917576 ONN917575:ONN917576 OXJ917575:OXJ917576 PHF917575:PHF917576 PRB917575:PRB917576 QAX917575:QAX917576 QKT917575:QKT917576 QUP917575:QUP917576 REL917575:REL917576 ROH917575:ROH917576 RYD917575:RYD917576 SHZ917575:SHZ917576 SRV917575:SRV917576 TBR917575:TBR917576 TLN917575:TLN917576 TVJ917575:TVJ917576 UFF917575:UFF917576 UPB917575:UPB917576 UYX917575:UYX917576 VIT917575:VIT917576 VSP917575:VSP917576 WCL917575:WCL917576 WMH917575:WMH917576 WWD917575:WWD917576 V983111:V983112 JR983111:JR983112 TN983111:TN983112 ADJ983111:ADJ983112 ANF983111:ANF983112 AXB983111:AXB983112 BGX983111:BGX983112 BQT983111:BQT983112 CAP983111:CAP983112 CKL983111:CKL983112 CUH983111:CUH983112 DED983111:DED983112 DNZ983111:DNZ983112 DXV983111:DXV983112 EHR983111:EHR983112 ERN983111:ERN983112 FBJ983111:FBJ983112 FLF983111:FLF983112 FVB983111:FVB983112 GEX983111:GEX983112 GOT983111:GOT983112 GYP983111:GYP983112 HIL983111:HIL983112 HSH983111:HSH983112 ICD983111:ICD983112 ILZ983111:ILZ983112 IVV983111:IVV983112 JFR983111:JFR983112 JPN983111:JPN983112 JZJ983111:JZJ983112 KJF983111:KJF983112 KTB983111:KTB983112 LCX983111:LCX983112 LMT983111:LMT983112 LWP983111:LWP983112 MGL983111:MGL983112 MQH983111:MQH983112 NAD983111:NAD983112 NJZ983111:NJZ983112 NTV983111:NTV983112 ODR983111:ODR983112 ONN983111:ONN983112 OXJ983111:OXJ983112 PHF983111:PHF983112 PRB983111:PRB983112 QAX983111:QAX983112 QKT983111:QKT983112 QUP983111:QUP983112 REL983111:REL983112 ROH983111:ROH983112 RYD983111:RYD983112 SHZ983111:SHZ983112 SRV983111:SRV983112 TBR983111:TBR983112 TLN983111:TLN983112 TVJ983111:TVJ983112 UFF983111:UFF983112 UPB983111:UPB983112 UYX983111:UYX983112 VIT983111:VIT983112 VSP983111:VSP983112 WCL983111:WCL983112 WMH983111:WMH983112 WWD983111:WWD983112 RXO983143 V65610:V65616 JR65610:JR65616 TN65610:TN65616 ADJ65610:ADJ65616 ANF65610:ANF65616 AXB65610:AXB65616 BGX65610:BGX65616 BQT65610:BQT65616 CAP65610:CAP65616 CKL65610:CKL65616 CUH65610:CUH65616 DED65610:DED65616 DNZ65610:DNZ65616 DXV65610:DXV65616 EHR65610:EHR65616 ERN65610:ERN65616 FBJ65610:FBJ65616 FLF65610:FLF65616 FVB65610:FVB65616 GEX65610:GEX65616 GOT65610:GOT65616 GYP65610:GYP65616 HIL65610:HIL65616 HSH65610:HSH65616 ICD65610:ICD65616 ILZ65610:ILZ65616 IVV65610:IVV65616 JFR65610:JFR65616 JPN65610:JPN65616 JZJ65610:JZJ65616 KJF65610:KJF65616 KTB65610:KTB65616 LCX65610:LCX65616 LMT65610:LMT65616 LWP65610:LWP65616 MGL65610:MGL65616 MQH65610:MQH65616 NAD65610:NAD65616 NJZ65610:NJZ65616 NTV65610:NTV65616 ODR65610:ODR65616 ONN65610:ONN65616 OXJ65610:OXJ65616 PHF65610:PHF65616 PRB65610:PRB65616 QAX65610:QAX65616 QKT65610:QKT65616 QUP65610:QUP65616 REL65610:REL65616 ROH65610:ROH65616 RYD65610:RYD65616 SHZ65610:SHZ65616 SRV65610:SRV65616 TBR65610:TBR65616 TLN65610:TLN65616 TVJ65610:TVJ65616 UFF65610:UFF65616 UPB65610:UPB65616 UYX65610:UYX65616 VIT65610:VIT65616 VSP65610:VSP65616 WCL65610:WCL65616 WMH65610:WMH65616 WWD65610:WWD65616 V131146:V131152 JR131146:JR131152 TN131146:TN131152 ADJ131146:ADJ131152 ANF131146:ANF131152 AXB131146:AXB131152 BGX131146:BGX131152 BQT131146:BQT131152 CAP131146:CAP131152 CKL131146:CKL131152 CUH131146:CUH131152 DED131146:DED131152 DNZ131146:DNZ131152 DXV131146:DXV131152 EHR131146:EHR131152 ERN131146:ERN131152 FBJ131146:FBJ131152 FLF131146:FLF131152 FVB131146:FVB131152 GEX131146:GEX131152 GOT131146:GOT131152 GYP131146:GYP131152 HIL131146:HIL131152 HSH131146:HSH131152 ICD131146:ICD131152 ILZ131146:ILZ131152 IVV131146:IVV131152 JFR131146:JFR131152 JPN131146:JPN131152 JZJ131146:JZJ131152 KJF131146:KJF131152 KTB131146:KTB131152 LCX131146:LCX131152 LMT131146:LMT131152 LWP131146:LWP131152 MGL131146:MGL131152 MQH131146:MQH131152 NAD131146:NAD131152 NJZ131146:NJZ131152 NTV131146:NTV131152 ODR131146:ODR131152 ONN131146:ONN131152 OXJ131146:OXJ131152 PHF131146:PHF131152 PRB131146:PRB131152 QAX131146:QAX131152 QKT131146:QKT131152 QUP131146:QUP131152 REL131146:REL131152 ROH131146:ROH131152 RYD131146:RYD131152 SHZ131146:SHZ131152 SRV131146:SRV131152 TBR131146:TBR131152 TLN131146:TLN131152 TVJ131146:TVJ131152 UFF131146:UFF131152 UPB131146:UPB131152 UYX131146:UYX131152 VIT131146:VIT131152 VSP131146:VSP131152 WCL131146:WCL131152 WMH131146:WMH131152 WWD131146:WWD131152 V196682:V196688 JR196682:JR196688 TN196682:TN196688 ADJ196682:ADJ196688 ANF196682:ANF196688 AXB196682:AXB196688 BGX196682:BGX196688 BQT196682:BQT196688 CAP196682:CAP196688 CKL196682:CKL196688 CUH196682:CUH196688 DED196682:DED196688 DNZ196682:DNZ196688 DXV196682:DXV196688 EHR196682:EHR196688 ERN196682:ERN196688 FBJ196682:FBJ196688 FLF196682:FLF196688 FVB196682:FVB196688 GEX196682:GEX196688 GOT196682:GOT196688 GYP196682:GYP196688 HIL196682:HIL196688 HSH196682:HSH196688 ICD196682:ICD196688 ILZ196682:ILZ196688 IVV196682:IVV196688 JFR196682:JFR196688 JPN196682:JPN196688 JZJ196682:JZJ196688 KJF196682:KJF196688 KTB196682:KTB196688 LCX196682:LCX196688 LMT196682:LMT196688 LWP196682:LWP196688 MGL196682:MGL196688 MQH196682:MQH196688 NAD196682:NAD196688 NJZ196682:NJZ196688 NTV196682:NTV196688 ODR196682:ODR196688 ONN196682:ONN196688 OXJ196682:OXJ196688 PHF196682:PHF196688 PRB196682:PRB196688 QAX196682:QAX196688 QKT196682:QKT196688 QUP196682:QUP196688 REL196682:REL196688 ROH196682:ROH196688 RYD196682:RYD196688 SHZ196682:SHZ196688 SRV196682:SRV196688 TBR196682:TBR196688 TLN196682:TLN196688 TVJ196682:TVJ196688 UFF196682:UFF196688 UPB196682:UPB196688 UYX196682:UYX196688 VIT196682:VIT196688 VSP196682:VSP196688 WCL196682:WCL196688 WMH196682:WMH196688 WWD196682:WWD196688 V262218:V262224 JR262218:JR262224 TN262218:TN262224 ADJ262218:ADJ262224 ANF262218:ANF262224 AXB262218:AXB262224 BGX262218:BGX262224 BQT262218:BQT262224 CAP262218:CAP262224 CKL262218:CKL262224 CUH262218:CUH262224 DED262218:DED262224 DNZ262218:DNZ262224 DXV262218:DXV262224 EHR262218:EHR262224 ERN262218:ERN262224 FBJ262218:FBJ262224 FLF262218:FLF262224 FVB262218:FVB262224 GEX262218:GEX262224 GOT262218:GOT262224 GYP262218:GYP262224 HIL262218:HIL262224 HSH262218:HSH262224 ICD262218:ICD262224 ILZ262218:ILZ262224 IVV262218:IVV262224 JFR262218:JFR262224 JPN262218:JPN262224 JZJ262218:JZJ262224 KJF262218:KJF262224 KTB262218:KTB262224 LCX262218:LCX262224 LMT262218:LMT262224 LWP262218:LWP262224 MGL262218:MGL262224 MQH262218:MQH262224 NAD262218:NAD262224 NJZ262218:NJZ262224 NTV262218:NTV262224 ODR262218:ODR262224 ONN262218:ONN262224 OXJ262218:OXJ262224 PHF262218:PHF262224 PRB262218:PRB262224 QAX262218:QAX262224 QKT262218:QKT262224 QUP262218:QUP262224 REL262218:REL262224 ROH262218:ROH262224 RYD262218:RYD262224 SHZ262218:SHZ262224 SRV262218:SRV262224 TBR262218:TBR262224 TLN262218:TLN262224 TVJ262218:TVJ262224 UFF262218:UFF262224 UPB262218:UPB262224 UYX262218:UYX262224 VIT262218:VIT262224 VSP262218:VSP262224 WCL262218:WCL262224 WMH262218:WMH262224 WWD262218:WWD262224 V327754:V327760 JR327754:JR327760 TN327754:TN327760 ADJ327754:ADJ327760 ANF327754:ANF327760 AXB327754:AXB327760 BGX327754:BGX327760 BQT327754:BQT327760 CAP327754:CAP327760 CKL327754:CKL327760 CUH327754:CUH327760 DED327754:DED327760 DNZ327754:DNZ327760 DXV327754:DXV327760 EHR327754:EHR327760 ERN327754:ERN327760 FBJ327754:FBJ327760 FLF327754:FLF327760 FVB327754:FVB327760 GEX327754:GEX327760 GOT327754:GOT327760 GYP327754:GYP327760 HIL327754:HIL327760 HSH327754:HSH327760 ICD327754:ICD327760 ILZ327754:ILZ327760 IVV327754:IVV327760 JFR327754:JFR327760 JPN327754:JPN327760 JZJ327754:JZJ327760 KJF327754:KJF327760 KTB327754:KTB327760 LCX327754:LCX327760 LMT327754:LMT327760 LWP327754:LWP327760 MGL327754:MGL327760 MQH327754:MQH327760 NAD327754:NAD327760 NJZ327754:NJZ327760 NTV327754:NTV327760 ODR327754:ODR327760 ONN327754:ONN327760 OXJ327754:OXJ327760 PHF327754:PHF327760 PRB327754:PRB327760 QAX327754:QAX327760 QKT327754:QKT327760 QUP327754:QUP327760 REL327754:REL327760 ROH327754:ROH327760 RYD327754:RYD327760 SHZ327754:SHZ327760 SRV327754:SRV327760 TBR327754:TBR327760 TLN327754:TLN327760 TVJ327754:TVJ327760 UFF327754:UFF327760 UPB327754:UPB327760 UYX327754:UYX327760 VIT327754:VIT327760 VSP327754:VSP327760 WCL327754:WCL327760 WMH327754:WMH327760 WWD327754:WWD327760 V393290:V393296 JR393290:JR393296 TN393290:TN393296 ADJ393290:ADJ393296 ANF393290:ANF393296 AXB393290:AXB393296 BGX393290:BGX393296 BQT393290:BQT393296 CAP393290:CAP393296 CKL393290:CKL393296 CUH393290:CUH393296 DED393290:DED393296 DNZ393290:DNZ393296 DXV393290:DXV393296 EHR393290:EHR393296 ERN393290:ERN393296 FBJ393290:FBJ393296 FLF393290:FLF393296 FVB393290:FVB393296 GEX393290:GEX393296 GOT393290:GOT393296 GYP393290:GYP393296 HIL393290:HIL393296 HSH393290:HSH393296 ICD393290:ICD393296 ILZ393290:ILZ393296 IVV393290:IVV393296 JFR393290:JFR393296 JPN393290:JPN393296 JZJ393290:JZJ393296 KJF393290:KJF393296 KTB393290:KTB393296 LCX393290:LCX393296 LMT393290:LMT393296 LWP393290:LWP393296 MGL393290:MGL393296 MQH393290:MQH393296 NAD393290:NAD393296 NJZ393290:NJZ393296 NTV393290:NTV393296 ODR393290:ODR393296 ONN393290:ONN393296 OXJ393290:OXJ393296 PHF393290:PHF393296 PRB393290:PRB393296 QAX393290:QAX393296 QKT393290:QKT393296 QUP393290:QUP393296 REL393290:REL393296 ROH393290:ROH393296 RYD393290:RYD393296 SHZ393290:SHZ393296 SRV393290:SRV393296 TBR393290:TBR393296 TLN393290:TLN393296 TVJ393290:TVJ393296 UFF393290:UFF393296 UPB393290:UPB393296 UYX393290:UYX393296 VIT393290:VIT393296 VSP393290:VSP393296 WCL393290:WCL393296 WMH393290:WMH393296 WWD393290:WWD393296 V458826:V458832 JR458826:JR458832 TN458826:TN458832 ADJ458826:ADJ458832 ANF458826:ANF458832 AXB458826:AXB458832 BGX458826:BGX458832 BQT458826:BQT458832 CAP458826:CAP458832 CKL458826:CKL458832 CUH458826:CUH458832 DED458826:DED458832 DNZ458826:DNZ458832 DXV458826:DXV458832 EHR458826:EHR458832 ERN458826:ERN458832 FBJ458826:FBJ458832 FLF458826:FLF458832 FVB458826:FVB458832 GEX458826:GEX458832 GOT458826:GOT458832 GYP458826:GYP458832 HIL458826:HIL458832 HSH458826:HSH458832 ICD458826:ICD458832 ILZ458826:ILZ458832 IVV458826:IVV458832 JFR458826:JFR458832 JPN458826:JPN458832 JZJ458826:JZJ458832 KJF458826:KJF458832 KTB458826:KTB458832 LCX458826:LCX458832 LMT458826:LMT458832 LWP458826:LWP458832 MGL458826:MGL458832 MQH458826:MQH458832 NAD458826:NAD458832 NJZ458826:NJZ458832 NTV458826:NTV458832 ODR458826:ODR458832 ONN458826:ONN458832 OXJ458826:OXJ458832 PHF458826:PHF458832 PRB458826:PRB458832 QAX458826:QAX458832 QKT458826:QKT458832 QUP458826:QUP458832 REL458826:REL458832 ROH458826:ROH458832 RYD458826:RYD458832 SHZ458826:SHZ458832 SRV458826:SRV458832 TBR458826:TBR458832 TLN458826:TLN458832 TVJ458826:TVJ458832 UFF458826:UFF458832 UPB458826:UPB458832 UYX458826:UYX458832 VIT458826:VIT458832 VSP458826:VSP458832 WCL458826:WCL458832 WMH458826:WMH458832 WWD458826:WWD458832 V524362:V524368 JR524362:JR524368 TN524362:TN524368 ADJ524362:ADJ524368 ANF524362:ANF524368 AXB524362:AXB524368 BGX524362:BGX524368 BQT524362:BQT524368 CAP524362:CAP524368 CKL524362:CKL524368 CUH524362:CUH524368 DED524362:DED524368 DNZ524362:DNZ524368 DXV524362:DXV524368 EHR524362:EHR524368 ERN524362:ERN524368 FBJ524362:FBJ524368 FLF524362:FLF524368 FVB524362:FVB524368 GEX524362:GEX524368 GOT524362:GOT524368 GYP524362:GYP524368 HIL524362:HIL524368 HSH524362:HSH524368 ICD524362:ICD524368 ILZ524362:ILZ524368 IVV524362:IVV524368 JFR524362:JFR524368 JPN524362:JPN524368 JZJ524362:JZJ524368 KJF524362:KJF524368 KTB524362:KTB524368 LCX524362:LCX524368 LMT524362:LMT524368 LWP524362:LWP524368 MGL524362:MGL524368 MQH524362:MQH524368 NAD524362:NAD524368 NJZ524362:NJZ524368 NTV524362:NTV524368 ODR524362:ODR524368 ONN524362:ONN524368 OXJ524362:OXJ524368 PHF524362:PHF524368 PRB524362:PRB524368 QAX524362:QAX524368 QKT524362:QKT524368 QUP524362:QUP524368 REL524362:REL524368 ROH524362:ROH524368 RYD524362:RYD524368 SHZ524362:SHZ524368 SRV524362:SRV524368 TBR524362:TBR524368 TLN524362:TLN524368 TVJ524362:TVJ524368 UFF524362:UFF524368 UPB524362:UPB524368 UYX524362:UYX524368 VIT524362:VIT524368 VSP524362:VSP524368 WCL524362:WCL524368 WMH524362:WMH524368 WWD524362:WWD524368 V589898:V589904 JR589898:JR589904 TN589898:TN589904 ADJ589898:ADJ589904 ANF589898:ANF589904 AXB589898:AXB589904 BGX589898:BGX589904 BQT589898:BQT589904 CAP589898:CAP589904 CKL589898:CKL589904 CUH589898:CUH589904 DED589898:DED589904 DNZ589898:DNZ589904 DXV589898:DXV589904 EHR589898:EHR589904 ERN589898:ERN589904 FBJ589898:FBJ589904 FLF589898:FLF589904 FVB589898:FVB589904 GEX589898:GEX589904 GOT589898:GOT589904 GYP589898:GYP589904 HIL589898:HIL589904 HSH589898:HSH589904 ICD589898:ICD589904 ILZ589898:ILZ589904 IVV589898:IVV589904 JFR589898:JFR589904 JPN589898:JPN589904 JZJ589898:JZJ589904 KJF589898:KJF589904 KTB589898:KTB589904 LCX589898:LCX589904 LMT589898:LMT589904 LWP589898:LWP589904 MGL589898:MGL589904 MQH589898:MQH589904 NAD589898:NAD589904 NJZ589898:NJZ589904 NTV589898:NTV589904 ODR589898:ODR589904 ONN589898:ONN589904 OXJ589898:OXJ589904 PHF589898:PHF589904 PRB589898:PRB589904 QAX589898:QAX589904 QKT589898:QKT589904 QUP589898:QUP589904 REL589898:REL589904 ROH589898:ROH589904 RYD589898:RYD589904 SHZ589898:SHZ589904 SRV589898:SRV589904 TBR589898:TBR589904 TLN589898:TLN589904 TVJ589898:TVJ589904 UFF589898:UFF589904 UPB589898:UPB589904 UYX589898:UYX589904 VIT589898:VIT589904 VSP589898:VSP589904 WCL589898:WCL589904 WMH589898:WMH589904 WWD589898:WWD589904 V655434:V655440 JR655434:JR655440 TN655434:TN655440 ADJ655434:ADJ655440 ANF655434:ANF655440 AXB655434:AXB655440 BGX655434:BGX655440 BQT655434:BQT655440 CAP655434:CAP655440 CKL655434:CKL655440 CUH655434:CUH655440 DED655434:DED655440 DNZ655434:DNZ655440 DXV655434:DXV655440 EHR655434:EHR655440 ERN655434:ERN655440 FBJ655434:FBJ655440 FLF655434:FLF655440 FVB655434:FVB655440 GEX655434:GEX655440 GOT655434:GOT655440 GYP655434:GYP655440 HIL655434:HIL655440 HSH655434:HSH655440 ICD655434:ICD655440 ILZ655434:ILZ655440 IVV655434:IVV655440 JFR655434:JFR655440 JPN655434:JPN655440 JZJ655434:JZJ655440 KJF655434:KJF655440 KTB655434:KTB655440 LCX655434:LCX655440 LMT655434:LMT655440 LWP655434:LWP655440 MGL655434:MGL655440 MQH655434:MQH655440 NAD655434:NAD655440 NJZ655434:NJZ655440 NTV655434:NTV655440 ODR655434:ODR655440 ONN655434:ONN655440 OXJ655434:OXJ655440 PHF655434:PHF655440 PRB655434:PRB655440 QAX655434:QAX655440 QKT655434:QKT655440 QUP655434:QUP655440 REL655434:REL655440 ROH655434:ROH655440 RYD655434:RYD655440 SHZ655434:SHZ655440 SRV655434:SRV655440 TBR655434:TBR655440 TLN655434:TLN655440 TVJ655434:TVJ655440 UFF655434:UFF655440 UPB655434:UPB655440 UYX655434:UYX655440 VIT655434:VIT655440 VSP655434:VSP655440 WCL655434:WCL655440 WMH655434:WMH655440 WWD655434:WWD655440 V720970:V720976 JR720970:JR720976 TN720970:TN720976 ADJ720970:ADJ720976 ANF720970:ANF720976 AXB720970:AXB720976 BGX720970:BGX720976 BQT720970:BQT720976 CAP720970:CAP720976 CKL720970:CKL720976 CUH720970:CUH720976 DED720970:DED720976 DNZ720970:DNZ720976 DXV720970:DXV720976 EHR720970:EHR720976 ERN720970:ERN720976 FBJ720970:FBJ720976 FLF720970:FLF720976 FVB720970:FVB720976 GEX720970:GEX720976 GOT720970:GOT720976 GYP720970:GYP720976 HIL720970:HIL720976 HSH720970:HSH720976 ICD720970:ICD720976 ILZ720970:ILZ720976 IVV720970:IVV720976 JFR720970:JFR720976 JPN720970:JPN720976 JZJ720970:JZJ720976 KJF720970:KJF720976 KTB720970:KTB720976 LCX720970:LCX720976 LMT720970:LMT720976 LWP720970:LWP720976 MGL720970:MGL720976 MQH720970:MQH720976 NAD720970:NAD720976 NJZ720970:NJZ720976 NTV720970:NTV720976 ODR720970:ODR720976 ONN720970:ONN720976 OXJ720970:OXJ720976 PHF720970:PHF720976 PRB720970:PRB720976 QAX720970:QAX720976 QKT720970:QKT720976 QUP720970:QUP720976 REL720970:REL720976 ROH720970:ROH720976 RYD720970:RYD720976 SHZ720970:SHZ720976 SRV720970:SRV720976 TBR720970:TBR720976 TLN720970:TLN720976 TVJ720970:TVJ720976 UFF720970:UFF720976 UPB720970:UPB720976 UYX720970:UYX720976 VIT720970:VIT720976 VSP720970:VSP720976 WCL720970:WCL720976 WMH720970:WMH720976 WWD720970:WWD720976 V786506:V786512 JR786506:JR786512 TN786506:TN786512 ADJ786506:ADJ786512 ANF786506:ANF786512 AXB786506:AXB786512 BGX786506:BGX786512 BQT786506:BQT786512 CAP786506:CAP786512 CKL786506:CKL786512 CUH786506:CUH786512 DED786506:DED786512 DNZ786506:DNZ786512 DXV786506:DXV786512 EHR786506:EHR786512 ERN786506:ERN786512 FBJ786506:FBJ786512 FLF786506:FLF786512 FVB786506:FVB786512 GEX786506:GEX786512 GOT786506:GOT786512 GYP786506:GYP786512 HIL786506:HIL786512 HSH786506:HSH786512 ICD786506:ICD786512 ILZ786506:ILZ786512 IVV786506:IVV786512 JFR786506:JFR786512 JPN786506:JPN786512 JZJ786506:JZJ786512 KJF786506:KJF786512 KTB786506:KTB786512 LCX786506:LCX786512 LMT786506:LMT786512 LWP786506:LWP786512 MGL786506:MGL786512 MQH786506:MQH786512 NAD786506:NAD786512 NJZ786506:NJZ786512 NTV786506:NTV786512 ODR786506:ODR786512 ONN786506:ONN786512 OXJ786506:OXJ786512 PHF786506:PHF786512 PRB786506:PRB786512 QAX786506:QAX786512 QKT786506:QKT786512 QUP786506:QUP786512 REL786506:REL786512 ROH786506:ROH786512 RYD786506:RYD786512 SHZ786506:SHZ786512 SRV786506:SRV786512 TBR786506:TBR786512 TLN786506:TLN786512 TVJ786506:TVJ786512 UFF786506:UFF786512 UPB786506:UPB786512 UYX786506:UYX786512 VIT786506:VIT786512 VSP786506:VSP786512 WCL786506:WCL786512 WMH786506:WMH786512 WWD786506:WWD786512 V852042:V852048 JR852042:JR852048 TN852042:TN852048 ADJ852042:ADJ852048 ANF852042:ANF852048 AXB852042:AXB852048 BGX852042:BGX852048 BQT852042:BQT852048 CAP852042:CAP852048 CKL852042:CKL852048 CUH852042:CUH852048 DED852042:DED852048 DNZ852042:DNZ852048 DXV852042:DXV852048 EHR852042:EHR852048 ERN852042:ERN852048 FBJ852042:FBJ852048 FLF852042:FLF852048 FVB852042:FVB852048 GEX852042:GEX852048 GOT852042:GOT852048 GYP852042:GYP852048 HIL852042:HIL852048 HSH852042:HSH852048 ICD852042:ICD852048 ILZ852042:ILZ852048 IVV852042:IVV852048 JFR852042:JFR852048 JPN852042:JPN852048 JZJ852042:JZJ852048 KJF852042:KJF852048 KTB852042:KTB852048 LCX852042:LCX852048 LMT852042:LMT852048 LWP852042:LWP852048 MGL852042:MGL852048 MQH852042:MQH852048 NAD852042:NAD852048 NJZ852042:NJZ852048 NTV852042:NTV852048 ODR852042:ODR852048 ONN852042:ONN852048 OXJ852042:OXJ852048 PHF852042:PHF852048 PRB852042:PRB852048 QAX852042:QAX852048 QKT852042:QKT852048 QUP852042:QUP852048 REL852042:REL852048 ROH852042:ROH852048 RYD852042:RYD852048 SHZ852042:SHZ852048 SRV852042:SRV852048 TBR852042:TBR852048 TLN852042:TLN852048 TVJ852042:TVJ852048 UFF852042:UFF852048 UPB852042:UPB852048 UYX852042:UYX852048 VIT852042:VIT852048 VSP852042:VSP852048 WCL852042:WCL852048 WMH852042:WMH852048 WWD852042:WWD852048 V917578:V917584 JR917578:JR917584 TN917578:TN917584 ADJ917578:ADJ917584 ANF917578:ANF917584 AXB917578:AXB917584 BGX917578:BGX917584 BQT917578:BQT917584 CAP917578:CAP917584 CKL917578:CKL917584 CUH917578:CUH917584 DED917578:DED917584 DNZ917578:DNZ917584 DXV917578:DXV917584 EHR917578:EHR917584 ERN917578:ERN917584 FBJ917578:FBJ917584 FLF917578:FLF917584 FVB917578:FVB917584 GEX917578:GEX917584 GOT917578:GOT917584 GYP917578:GYP917584 HIL917578:HIL917584 HSH917578:HSH917584 ICD917578:ICD917584 ILZ917578:ILZ917584 IVV917578:IVV917584 JFR917578:JFR917584 JPN917578:JPN917584 JZJ917578:JZJ917584 KJF917578:KJF917584 KTB917578:KTB917584 LCX917578:LCX917584 LMT917578:LMT917584 LWP917578:LWP917584 MGL917578:MGL917584 MQH917578:MQH917584 NAD917578:NAD917584 NJZ917578:NJZ917584 NTV917578:NTV917584 ODR917578:ODR917584 ONN917578:ONN917584 OXJ917578:OXJ917584 PHF917578:PHF917584 PRB917578:PRB917584 QAX917578:QAX917584 QKT917578:QKT917584 QUP917578:QUP917584 REL917578:REL917584 ROH917578:ROH917584 RYD917578:RYD917584 SHZ917578:SHZ917584 SRV917578:SRV917584 TBR917578:TBR917584 TLN917578:TLN917584 TVJ917578:TVJ917584 UFF917578:UFF917584 UPB917578:UPB917584 UYX917578:UYX917584 VIT917578:VIT917584 VSP917578:VSP917584 WCL917578:WCL917584 WMH917578:WMH917584 WWD917578:WWD917584 V983114:V983120 JR983114:JR983120 TN983114:TN983120 ADJ983114:ADJ983120 ANF983114:ANF983120 AXB983114:AXB983120 BGX983114:BGX983120 BQT983114:BQT983120 CAP983114:CAP983120 CKL983114:CKL983120 CUH983114:CUH983120 DED983114:DED983120 DNZ983114:DNZ983120 DXV983114:DXV983120 EHR983114:EHR983120 ERN983114:ERN983120 FBJ983114:FBJ983120 FLF983114:FLF983120 FVB983114:FVB983120 GEX983114:GEX983120 GOT983114:GOT983120 GYP983114:GYP983120 HIL983114:HIL983120 HSH983114:HSH983120 ICD983114:ICD983120 ILZ983114:ILZ983120 IVV983114:IVV983120 JFR983114:JFR983120 JPN983114:JPN983120 JZJ983114:JZJ983120 KJF983114:KJF983120 KTB983114:KTB983120 LCX983114:LCX983120 LMT983114:LMT983120 LWP983114:LWP983120 MGL983114:MGL983120 MQH983114:MQH983120 NAD983114:NAD983120 NJZ983114:NJZ983120 NTV983114:NTV983120 ODR983114:ODR983120 ONN983114:ONN983120 OXJ983114:OXJ983120 PHF983114:PHF983120 PRB983114:PRB983120 QAX983114:QAX983120 QKT983114:QKT983120 QUP983114:QUP983120 REL983114:REL983120 ROH983114:ROH983120 RYD983114:RYD983120 SHZ983114:SHZ983120 SRV983114:SRV983120 TBR983114:TBR983120 TLN983114:TLN983120 TVJ983114:TVJ983120 UFF983114:UFF983120 UPB983114:UPB983120 UYX983114:UYX983120 VIT983114:VIT983120 VSP983114:VSP983120 WCL983114:WCL983120 WMH983114:WMH983120 WWD983114:WWD983120 ADC71:ADC77 JD79 SZ79 ACV79 AMR79 AWN79 BGJ79 BQF79 CAB79 CJX79 CTT79 DDP79 DNL79 DXH79 EHD79 EQZ79 FAV79 FKR79 FUN79 GEJ79 GOF79 GYB79 HHX79 HRT79 IBP79 ILL79 IVH79 JFD79 JOZ79 JYV79 KIR79 KSN79 LCJ79 LMF79 LWB79 MFX79 MPT79 MZP79 NJL79 NTH79 ODD79 OMZ79 OWV79 PGR79 PQN79 QAJ79 QKF79 QUB79 RDX79 RNT79 RXP79 SHL79 SRH79 TBD79 TKZ79 TUV79 UER79 UON79 UYJ79 VIF79 VSB79 WBX79 WLT79 WVP79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TG71:TG77 JD81:JD82 SZ81:SZ82 ACV81:ACV82 AMR81:AMR82 AWN81:AWN82 BGJ81:BGJ82 BQF81:BQF82 CAB81:CAB82 CJX81:CJX82 CTT81:CTT82 DDP81:DDP82 DNL81:DNL82 DXH81:DXH82 EHD81:EHD82 EQZ81:EQZ82 FAV81:FAV82 FKR81:FKR82 FUN81:FUN82 GEJ81:GEJ82 GOF81:GOF82 GYB81:GYB82 HHX81:HHX82 HRT81:HRT82 IBP81:IBP82 ILL81:ILL82 IVH81:IVH82 JFD81:JFD82 JOZ81:JOZ82 JYV81:JYV82 KIR81:KIR82 KSN81:KSN82 LCJ81:LCJ82 LMF81:LMF82 LWB81:LWB82 MFX81:MFX82 MPT81:MPT82 MZP81:MZP82 NJL81:NJL82 NTH81:NTH82 ODD81:ODD82 OMZ81:OMZ82 OWV81:OWV82 PGR81:PGR82 PQN81:PQN82 QAJ81:QAJ82 QKF81:QKF82 QUB81:QUB82 RDX81:RDX82 RNT81:RNT82 RXP81:RXP82 SHL81:SHL82 SRH81:SRH82 TBD81:TBD82 TKZ81:TKZ82 TUV81:TUV82 UER81:UER82 UON81:UON82 UYJ81:UYJ82 VIF81:VIF82 VSB81:VSB82 WBX81:WBX82 WLT81:WLT82 WVP81:WVP82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JK71:JK77 JD84:JD86 SZ84:SZ86 ACV84:ACV86 AMR84:AMR86 AWN84:AWN86 BGJ84:BGJ86 BQF84:BQF86 CAB84:CAB86 CJX84:CJX86 CTT84:CTT86 DDP84:DDP86 DNL84:DNL86 DXH84:DXH86 EHD84:EHD86 EQZ84:EQZ86 FAV84:FAV86 FKR84:FKR86 FUN84:FUN86 GEJ84:GEJ86 GOF84:GOF86 GYB84:GYB86 HHX84:HHX86 HRT84:HRT86 IBP84:IBP86 ILL84:ILL86 IVH84:IVH86 JFD84:JFD86 JOZ84:JOZ86 JYV84:JYV86 KIR84:KIR86 KSN84:KSN86 LCJ84:LCJ86 LMF84:LMF86 LWB84:LWB86 MFX84:MFX86 MPT84:MPT86 MZP84:MZP86 NJL84:NJL86 NTH84:NTH86 ODD84:ODD86 OMZ84:OMZ86 OWV84:OWV86 PGR84:PGR86 PQN84:PQN86 QAJ84:QAJ86 QKF84:QKF86 QUB84:QUB86 RDX84:RDX86 RNT84:RNT86 RXP84:RXP86 SHL84:SHL86 SRH84:SRH86 TBD84:TBD86 TKZ84:TKZ86 TUV84:TUV86 UER84:UER86 UON84:UON86 UYJ84:UYJ86 VIF84:VIF86 VSB84:VSB86 WBX84:WBX86 WLT84:WLT86 WVP84:WVP86 H65623 JD65623 SZ65623 ACV65623 AMR65623 AWN65623 BGJ65623 BQF65623 CAB65623 CJX65623 CTT65623 DDP65623 DNL65623 DXH65623 EHD65623 EQZ65623 FAV65623 FKR65623 FUN65623 GEJ65623 GOF65623 GYB65623 HHX65623 HRT65623 IBP65623 ILL65623 IVH65623 JFD65623 JOZ65623 JYV65623 KIR65623 KSN65623 LCJ65623 LMF65623 LWB65623 MFX65623 MPT65623 MZP65623 NJL65623 NTH65623 ODD65623 OMZ65623 OWV65623 PGR65623 PQN65623 QAJ65623 QKF65623 QUB65623 RDX65623 RNT65623 RXP65623 SHL65623 SRH65623 TBD65623 TKZ65623 TUV65623 UER65623 UON65623 UYJ65623 VIF65623 VSB65623 WBX65623 WLT65623 WVP65623 H131159 JD131159 SZ131159 ACV131159 AMR131159 AWN131159 BGJ131159 BQF131159 CAB131159 CJX131159 CTT131159 DDP131159 DNL131159 DXH131159 EHD131159 EQZ131159 FAV131159 FKR131159 FUN131159 GEJ131159 GOF131159 GYB131159 HHX131159 HRT131159 IBP131159 ILL131159 IVH131159 JFD131159 JOZ131159 JYV131159 KIR131159 KSN131159 LCJ131159 LMF131159 LWB131159 MFX131159 MPT131159 MZP131159 NJL131159 NTH131159 ODD131159 OMZ131159 OWV131159 PGR131159 PQN131159 QAJ131159 QKF131159 QUB131159 RDX131159 RNT131159 RXP131159 SHL131159 SRH131159 TBD131159 TKZ131159 TUV131159 UER131159 UON131159 UYJ131159 VIF131159 VSB131159 WBX131159 WLT131159 WVP131159 H196695 JD196695 SZ196695 ACV196695 AMR196695 AWN196695 BGJ196695 BQF196695 CAB196695 CJX196695 CTT196695 DDP196695 DNL196695 DXH196695 EHD196695 EQZ196695 FAV196695 FKR196695 FUN196695 GEJ196695 GOF196695 GYB196695 HHX196695 HRT196695 IBP196695 ILL196695 IVH196695 JFD196695 JOZ196695 JYV196695 KIR196695 KSN196695 LCJ196695 LMF196695 LWB196695 MFX196695 MPT196695 MZP196695 NJL196695 NTH196695 ODD196695 OMZ196695 OWV196695 PGR196695 PQN196695 QAJ196695 QKF196695 QUB196695 RDX196695 RNT196695 RXP196695 SHL196695 SRH196695 TBD196695 TKZ196695 TUV196695 UER196695 UON196695 UYJ196695 VIF196695 VSB196695 WBX196695 WLT196695 WVP196695 H262231 JD262231 SZ262231 ACV262231 AMR262231 AWN262231 BGJ262231 BQF262231 CAB262231 CJX262231 CTT262231 DDP262231 DNL262231 DXH262231 EHD262231 EQZ262231 FAV262231 FKR262231 FUN262231 GEJ262231 GOF262231 GYB262231 HHX262231 HRT262231 IBP262231 ILL262231 IVH262231 JFD262231 JOZ262231 JYV262231 KIR262231 KSN262231 LCJ262231 LMF262231 LWB262231 MFX262231 MPT262231 MZP262231 NJL262231 NTH262231 ODD262231 OMZ262231 OWV262231 PGR262231 PQN262231 QAJ262231 QKF262231 QUB262231 RDX262231 RNT262231 RXP262231 SHL262231 SRH262231 TBD262231 TKZ262231 TUV262231 UER262231 UON262231 UYJ262231 VIF262231 VSB262231 WBX262231 WLT262231 WVP262231 H327767 JD327767 SZ327767 ACV327767 AMR327767 AWN327767 BGJ327767 BQF327767 CAB327767 CJX327767 CTT327767 DDP327767 DNL327767 DXH327767 EHD327767 EQZ327767 FAV327767 FKR327767 FUN327767 GEJ327767 GOF327767 GYB327767 HHX327767 HRT327767 IBP327767 ILL327767 IVH327767 JFD327767 JOZ327767 JYV327767 KIR327767 KSN327767 LCJ327767 LMF327767 LWB327767 MFX327767 MPT327767 MZP327767 NJL327767 NTH327767 ODD327767 OMZ327767 OWV327767 PGR327767 PQN327767 QAJ327767 QKF327767 QUB327767 RDX327767 RNT327767 RXP327767 SHL327767 SRH327767 TBD327767 TKZ327767 TUV327767 UER327767 UON327767 UYJ327767 VIF327767 VSB327767 WBX327767 WLT327767 WVP327767 H393303 JD393303 SZ393303 ACV393303 AMR393303 AWN393303 BGJ393303 BQF393303 CAB393303 CJX393303 CTT393303 DDP393303 DNL393303 DXH393303 EHD393303 EQZ393303 FAV393303 FKR393303 FUN393303 GEJ393303 GOF393303 GYB393303 HHX393303 HRT393303 IBP393303 ILL393303 IVH393303 JFD393303 JOZ393303 JYV393303 KIR393303 KSN393303 LCJ393303 LMF393303 LWB393303 MFX393303 MPT393303 MZP393303 NJL393303 NTH393303 ODD393303 OMZ393303 OWV393303 PGR393303 PQN393303 QAJ393303 QKF393303 QUB393303 RDX393303 RNT393303 RXP393303 SHL393303 SRH393303 TBD393303 TKZ393303 TUV393303 UER393303 UON393303 UYJ393303 VIF393303 VSB393303 WBX393303 WLT393303 WVP393303 H458839 JD458839 SZ458839 ACV458839 AMR458839 AWN458839 BGJ458839 BQF458839 CAB458839 CJX458839 CTT458839 DDP458839 DNL458839 DXH458839 EHD458839 EQZ458839 FAV458839 FKR458839 FUN458839 GEJ458839 GOF458839 GYB458839 HHX458839 HRT458839 IBP458839 ILL458839 IVH458839 JFD458839 JOZ458839 JYV458839 KIR458839 KSN458839 LCJ458839 LMF458839 LWB458839 MFX458839 MPT458839 MZP458839 NJL458839 NTH458839 ODD458839 OMZ458839 OWV458839 PGR458839 PQN458839 QAJ458839 QKF458839 QUB458839 RDX458839 RNT458839 RXP458839 SHL458839 SRH458839 TBD458839 TKZ458839 TUV458839 UER458839 UON458839 UYJ458839 VIF458839 VSB458839 WBX458839 WLT458839 WVP458839 H524375 JD524375 SZ524375 ACV524375 AMR524375 AWN524375 BGJ524375 BQF524375 CAB524375 CJX524375 CTT524375 DDP524375 DNL524375 DXH524375 EHD524375 EQZ524375 FAV524375 FKR524375 FUN524375 GEJ524375 GOF524375 GYB524375 HHX524375 HRT524375 IBP524375 ILL524375 IVH524375 JFD524375 JOZ524375 JYV524375 KIR524375 KSN524375 LCJ524375 LMF524375 LWB524375 MFX524375 MPT524375 MZP524375 NJL524375 NTH524375 ODD524375 OMZ524375 OWV524375 PGR524375 PQN524375 QAJ524375 QKF524375 QUB524375 RDX524375 RNT524375 RXP524375 SHL524375 SRH524375 TBD524375 TKZ524375 TUV524375 UER524375 UON524375 UYJ524375 VIF524375 VSB524375 WBX524375 WLT524375 WVP524375 H589911 JD589911 SZ589911 ACV589911 AMR589911 AWN589911 BGJ589911 BQF589911 CAB589911 CJX589911 CTT589911 DDP589911 DNL589911 DXH589911 EHD589911 EQZ589911 FAV589911 FKR589911 FUN589911 GEJ589911 GOF589911 GYB589911 HHX589911 HRT589911 IBP589911 ILL589911 IVH589911 JFD589911 JOZ589911 JYV589911 KIR589911 KSN589911 LCJ589911 LMF589911 LWB589911 MFX589911 MPT589911 MZP589911 NJL589911 NTH589911 ODD589911 OMZ589911 OWV589911 PGR589911 PQN589911 QAJ589911 QKF589911 QUB589911 RDX589911 RNT589911 RXP589911 SHL589911 SRH589911 TBD589911 TKZ589911 TUV589911 UER589911 UON589911 UYJ589911 VIF589911 VSB589911 WBX589911 WLT589911 WVP589911 H655447 JD655447 SZ655447 ACV655447 AMR655447 AWN655447 BGJ655447 BQF655447 CAB655447 CJX655447 CTT655447 DDP655447 DNL655447 DXH655447 EHD655447 EQZ655447 FAV655447 FKR655447 FUN655447 GEJ655447 GOF655447 GYB655447 HHX655447 HRT655447 IBP655447 ILL655447 IVH655447 JFD655447 JOZ655447 JYV655447 KIR655447 KSN655447 LCJ655447 LMF655447 LWB655447 MFX655447 MPT655447 MZP655447 NJL655447 NTH655447 ODD655447 OMZ655447 OWV655447 PGR655447 PQN655447 QAJ655447 QKF655447 QUB655447 RDX655447 RNT655447 RXP655447 SHL655447 SRH655447 TBD655447 TKZ655447 TUV655447 UER655447 UON655447 UYJ655447 VIF655447 VSB655447 WBX655447 WLT655447 WVP655447 H720983 JD720983 SZ720983 ACV720983 AMR720983 AWN720983 BGJ720983 BQF720983 CAB720983 CJX720983 CTT720983 DDP720983 DNL720983 DXH720983 EHD720983 EQZ720983 FAV720983 FKR720983 FUN720983 GEJ720983 GOF720983 GYB720983 HHX720983 HRT720983 IBP720983 ILL720983 IVH720983 JFD720983 JOZ720983 JYV720983 KIR720983 KSN720983 LCJ720983 LMF720983 LWB720983 MFX720983 MPT720983 MZP720983 NJL720983 NTH720983 ODD720983 OMZ720983 OWV720983 PGR720983 PQN720983 QAJ720983 QKF720983 QUB720983 RDX720983 RNT720983 RXP720983 SHL720983 SRH720983 TBD720983 TKZ720983 TUV720983 UER720983 UON720983 UYJ720983 VIF720983 VSB720983 WBX720983 WLT720983 WVP720983 H786519 JD786519 SZ786519 ACV786519 AMR786519 AWN786519 BGJ786519 BQF786519 CAB786519 CJX786519 CTT786519 DDP786519 DNL786519 DXH786519 EHD786519 EQZ786519 FAV786519 FKR786519 FUN786519 GEJ786519 GOF786519 GYB786519 HHX786519 HRT786519 IBP786519 ILL786519 IVH786519 JFD786519 JOZ786519 JYV786519 KIR786519 KSN786519 LCJ786519 LMF786519 LWB786519 MFX786519 MPT786519 MZP786519 NJL786519 NTH786519 ODD786519 OMZ786519 OWV786519 PGR786519 PQN786519 QAJ786519 QKF786519 QUB786519 RDX786519 RNT786519 RXP786519 SHL786519 SRH786519 TBD786519 TKZ786519 TUV786519 UER786519 UON786519 UYJ786519 VIF786519 VSB786519 WBX786519 WLT786519 WVP786519 H852055 JD852055 SZ852055 ACV852055 AMR852055 AWN852055 BGJ852055 BQF852055 CAB852055 CJX852055 CTT852055 DDP852055 DNL852055 DXH852055 EHD852055 EQZ852055 FAV852055 FKR852055 FUN852055 GEJ852055 GOF852055 GYB852055 HHX852055 HRT852055 IBP852055 ILL852055 IVH852055 JFD852055 JOZ852055 JYV852055 KIR852055 KSN852055 LCJ852055 LMF852055 LWB852055 MFX852055 MPT852055 MZP852055 NJL852055 NTH852055 ODD852055 OMZ852055 OWV852055 PGR852055 PQN852055 QAJ852055 QKF852055 QUB852055 RDX852055 RNT852055 RXP852055 SHL852055 SRH852055 TBD852055 TKZ852055 TUV852055 UER852055 UON852055 UYJ852055 VIF852055 VSB852055 WBX852055 WLT852055 WVP852055 H917591 JD917591 SZ917591 ACV917591 AMR917591 AWN917591 BGJ917591 BQF917591 CAB917591 CJX917591 CTT917591 DDP917591 DNL917591 DXH917591 EHD917591 EQZ917591 FAV917591 FKR917591 FUN917591 GEJ917591 GOF917591 GYB917591 HHX917591 HRT917591 IBP917591 ILL917591 IVH917591 JFD917591 JOZ917591 JYV917591 KIR917591 KSN917591 LCJ917591 LMF917591 LWB917591 MFX917591 MPT917591 MZP917591 NJL917591 NTH917591 ODD917591 OMZ917591 OWV917591 PGR917591 PQN917591 QAJ917591 QKF917591 QUB917591 RDX917591 RNT917591 RXP917591 SHL917591 SRH917591 TBD917591 TKZ917591 TUV917591 UER917591 UON917591 UYJ917591 VIF917591 VSB917591 WBX917591 WLT917591 WVP917591 H983127 JD983127 SZ983127 ACV983127 AMR983127 AWN983127 BGJ983127 BQF983127 CAB983127 CJX983127 CTT983127 DDP983127 DNL983127 DXH983127 EHD983127 EQZ983127 FAV983127 FKR983127 FUN983127 GEJ983127 GOF983127 GYB983127 HHX983127 HRT983127 IBP983127 ILL983127 IVH983127 JFD983127 JOZ983127 JYV983127 KIR983127 KSN983127 LCJ983127 LMF983127 LWB983127 MFX983127 MPT983127 MZP983127 NJL983127 NTH983127 ODD983127 OMZ983127 OWV983127 PGR983127 PQN983127 QAJ983127 QKF983127 QUB983127 RDX983127 RNT983127 RXP983127 SHL983127 SRH983127 TBD983127 TKZ983127 TUV983127 UER983127 UON983127 UYJ983127 VIF983127 VSB983127 WBX983127 WLT983127 WVP983127 BGQ71:BGQ77 JK79 TG79 ADC79 AMY79 AWU79 BGQ79 BQM79 CAI79 CKE79 CUA79 DDW79 DNS79 DXO79 EHK79 ERG79 FBC79 FKY79 FUU79 GEQ79 GOM79 GYI79 HIE79 HSA79 IBW79 ILS79 IVO79 JFK79 JPG79 JZC79 KIY79 KSU79 LCQ79 LMM79 LWI79 MGE79 MQA79 MZW79 NJS79 NTO79 ODK79 ONG79 OXC79 PGY79 PQU79 QAQ79 QKM79 QUI79 REE79 ROA79 RXW79 SHS79 SRO79 TBK79 TLG79 TVC79 UEY79 UOU79 UYQ79 VIM79 VSI79 WCE79 WMA79 WVW79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AWU71:AWU77 JK81:JK82 TG81:TG82 ADC81:ADC82 AMY81:AMY82 AWU81:AWU82 BGQ81:BGQ82 BQM81:BQM82 CAI81:CAI82 CKE81:CKE82 CUA81:CUA82 DDW81:DDW82 DNS81:DNS82 DXO81:DXO82 EHK81:EHK82 ERG81:ERG82 FBC81:FBC82 FKY81:FKY82 FUU81:FUU82 GEQ81:GEQ82 GOM81:GOM82 GYI81:GYI82 HIE81:HIE82 HSA81:HSA82 IBW81:IBW82 ILS81:ILS82 IVO81:IVO82 JFK81:JFK82 JPG81:JPG82 JZC81:JZC82 KIY81:KIY82 KSU81:KSU82 LCQ81:LCQ82 LMM81:LMM82 LWI81:LWI82 MGE81:MGE82 MQA81:MQA82 MZW81:MZW82 NJS81:NJS82 NTO81:NTO82 ODK81:ODK82 ONG81:ONG82 OXC81:OXC82 PGY81:PGY82 PQU81:PQU82 QAQ81:QAQ82 QKM81:QKM82 QUI81:QUI82 REE81:REE82 ROA81:ROA82 RXW81:RXW82 SHS81:SHS82 SRO81:SRO82 TBK81:TBK82 TLG81:TLG82 TVC81:TVC82 UEY81:UEY82 UOU81:UOU82 UYQ81:UYQ82 VIM81:VIM82 VSI81:VSI82 WCE81:WCE82 WMA81:WMA82 WVW81:WVW82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DDW71:DDW77 JK84:JK86 TG84:TG86 ADC84:ADC86 AMY84:AMY86 AWU84:AWU86 BGQ84:BGQ86 BQM84:BQM86 CAI84:CAI86 CKE84:CKE86 CUA84:CUA86 DDW84:DDW86 DNS84:DNS86 DXO84:DXO86 EHK84:EHK86 ERG84:ERG86 FBC84:FBC86 FKY84:FKY86 FUU84:FUU86 GEQ84:GEQ86 GOM84:GOM86 GYI84:GYI86 HIE84:HIE86 HSA84:HSA86 IBW84:IBW86 ILS84:ILS86 IVO84:IVO86 JFK84:JFK86 JPG84:JPG86 JZC84:JZC86 KIY84:KIY86 KSU84:KSU86 LCQ84:LCQ86 LMM84:LMM86 LWI84:LWI86 MGE84:MGE86 MQA84:MQA86 MZW84:MZW86 NJS84:NJS86 NTO84:NTO86 ODK84:ODK86 ONG84:ONG86 OXC84:OXC86 PGY84:PGY86 PQU84:PQU86 QAQ84:QAQ86 QKM84:QKM86 QUI84:QUI86 REE84:REE86 ROA84:ROA86 RXW84:RXW86 SHS84:SHS86 SRO84:SRO86 TBK84:TBK86 TLG84:TLG86 TVC84:TVC86 UEY84:UEY86 UOU84:UOU86 UYQ84:UYQ86 VIM84:VIM86 VSI84:VSI86 WCE84:WCE86 WMA84:WMA86 WVW84:WVW86 O65623 JK65623 TG65623 ADC65623 AMY65623 AWU65623 BGQ65623 BQM65623 CAI65623 CKE65623 CUA65623 DDW65623 DNS65623 DXO65623 EHK65623 ERG65623 FBC65623 FKY65623 FUU65623 GEQ65623 GOM65623 GYI65623 HIE65623 HSA65623 IBW65623 ILS65623 IVO65623 JFK65623 JPG65623 JZC65623 KIY65623 KSU65623 LCQ65623 LMM65623 LWI65623 MGE65623 MQA65623 MZW65623 NJS65623 NTO65623 ODK65623 ONG65623 OXC65623 PGY65623 PQU65623 QAQ65623 QKM65623 QUI65623 REE65623 ROA65623 RXW65623 SHS65623 SRO65623 TBK65623 TLG65623 TVC65623 UEY65623 UOU65623 UYQ65623 VIM65623 VSI65623 WCE65623 WMA65623 WVW65623 O131159 JK131159 TG131159 ADC131159 AMY131159 AWU131159 BGQ131159 BQM131159 CAI131159 CKE131159 CUA131159 DDW131159 DNS131159 DXO131159 EHK131159 ERG131159 FBC131159 FKY131159 FUU131159 GEQ131159 GOM131159 GYI131159 HIE131159 HSA131159 IBW131159 ILS131159 IVO131159 JFK131159 JPG131159 JZC131159 KIY131159 KSU131159 LCQ131159 LMM131159 LWI131159 MGE131159 MQA131159 MZW131159 NJS131159 NTO131159 ODK131159 ONG131159 OXC131159 PGY131159 PQU131159 QAQ131159 QKM131159 QUI131159 REE131159 ROA131159 RXW131159 SHS131159 SRO131159 TBK131159 TLG131159 TVC131159 UEY131159 UOU131159 UYQ131159 VIM131159 VSI131159 WCE131159 WMA131159 WVW131159 O196695 JK196695 TG196695 ADC196695 AMY196695 AWU196695 BGQ196695 BQM196695 CAI196695 CKE196695 CUA196695 DDW196695 DNS196695 DXO196695 EHK196695 ERG196695 FBC196695 FKY196695 FUU196695 GEQ196695 GOM196695 GYI196695 HIE196695 HSA196695 IBW196695 ILS196695 IVO196695 JFK196695 JPG196695 JZC196695 KIY196695 KSU196695 LCQ196695 LMM196695 LWI196695 MGE196695 MQA196695 MZW196695 NJS196695 NTO196695 ODK196695 ONG196695 OXC196695 PGY196695 PQU196695 QAQ196695 QKM196695 QUI196695 REE196695 ROA196695 RXW196695 SHS196695 SRO196695 TBK196695 TLG196695 TVC196695 UEY196695 UOU196695 UYQ196695 VIM196695 VSI196695 WCE196695 WMA196695 WVW196695 O262231 JK262231 TG262231 ADC262231 AMY262231 AWU262231 BGQ262231 BQM262231 CAI262231 CKE262231 CUA262231 DDW262231 DNS262231 DXO262231 EHK262231 ERG262231 FBC262231 FKY262231 FUU262231 GEQ262231 GOM262231 GYI262231 HIE262231 HSA262231 IBW262231 ILS262231 IVO262231 JFK262231 JPG262231 JZC262231 KIY262231 KSU262231 LCQ262231 LMM262231 LWI262231 MGE262231 MQA262231 MZW262231 NJS262231 NTO262231 ODK262231 ONG262231 OXC262231 PGY262231 PQU262231 QAQ262231 QKM262231 QUI262231 REE262231 ROA262231 RXW262231 SHS262231 SRO262231 TBK262231 TLG262231 TVC262231 UEY262231 UOU262231 UYQ262231 VIM262231 VSI262231 WCE262231 WMA262231 WVW262231 O327767 JK327767 TG327767 ADC327767 AMY327767 AWU327767 BGQ327767 BQM327767 CAI327767 CKE327767 CUA327767 DDW327767 DNS327767 DXO327767 EHK327767 ERG327767 FBC327767 FKY327767 FUU327767 GEQ327767 GOM327767 GYI327767 HIE327767 HSA327767 IBW327767 ILS327767 IVO327767 JFK327767 JPG327767 JZC327767 KIY327767 KSU327767 LCQ327767 LMM327767 LWI327767 MGE327767 MQA327767 MZW327767 NJS327767 NTO327767 ODK327767 ONG327767 OXC327767 PGY327767 PQU327767 QAQ327767 QKM327767 QUI327767 REE327767 ROA327767 RXW327767 SHS327767 SRO327767 TBK327767 TLG327767 TVC327767 UEY327767 UOU327767 UYQ327767 VIM327767 VSI327767 WCE327767 WMA327767 WVW327767 O393303 JK393303 TG393303 ADC393303 AMY393303 AWU393303 BGQ393303 BQM393303 CAI393303 CKE393303 CUA393303 DDW393303 DNS393303 DXO393303 EHK393303 ERG393303 FBC393303 FKY393303 FUU393303 GEQ393303 GOM393303 GYI393303 HIE393303 HSA393303 IBW393303 ILS393303 IVO393303 JFK393303 JPG393303 JZC393303 KIY393303 KSU393303 LCQ393303 LMM393303 LWI393303 MGE393303 MQA393303 MZW393303 NJS393303 NTO393303 ODK393303 ONG393303 OXC393303 PGY393303 PQU393303 QAQ393303 QKM393303 QUI393303 REE393303 ROA393303 RXW393303 SHS393303 SRO393303 TBK393303 TLG393303 TVC393303 UEY393303 UOU393303 UYQ393303 VIM393303 VSI393303 WCE393303 WMA393303 WVW393303 O458839 JK458839 TG458839 ADC458839 AMY458839 AWU458839 BGQ458839 BQM458839 CAI458839 CKE458839 CUA458839 DDW458839 DNS458839 DXO458839 EHK458839 ERG458839 FBC458839 FKY458839 FUU458839 GEQ458839 GOM458839 GYI458839 HIE458839 HSA458839 IBW458839 ILS458839 IVO458839 JFK458839 JPG458839 JZC458839 KIY458839 KSU458839 LCQ458839 LMM458839 LWI458839 MGE458839 MQA458839 MZW458839 NJS458839 NTO458839 ODK458839 ONG458839 OXC458839 PGY458839 PQU458839 QAQ458839 QKM458839 QUI458839 REE458839 ROA458839 RXW458839 SHS458839 SRO458839 TBK458839 TLG458839 TVC458839 UEY458839 UOU458839 UYQ458839 VIM458839 VSI458839 WCE458839 WMA458839 WVW458839 O524375 JK524375 TG524375 ADC524375 AMY524375 AWU524375 BGQ524375 BQM524375 CAI524375 CKE524375 CUA524375 DDW524375 DNS524375 DXO524375 EHK524375 ERG524375 FBC524375 FKY524375 FUU524375 GEQ524375 GOM524375 GYI524375 HIE524375 HSA524375 IBW524375 ILS524375 IVO524375 JFK524375 JPG524375 JZC524375 KIY524375 KSU524375 LCQ524375 LMM524375 LWI524375 MGE524375 MQA524375 MZW524375 NJS524375 NTO524375 ODK524375 ONG524375 OXC524375 PGY524375 PQU524375 QAQ524375 QKM524375 QUI524375 REE524375 ROA524375 RXW524375 SHS524375 SRO524375 TBK524375 TLG524375 TVC524375 UEY524375 UOU524375 UYQ524375 VIM524375 VSI524375 WCE524375 WMA524375 WVW524375 O589911 JK589911 TG589911 ADC589911 AMY589911 AWU589911 BGQ589911 BQM589911 CAI589911 CKE589911 CUA589911 DDW589911 DNS589911 DXO589911 EHK589911 ERG589911 FBC589911 FKY589911 FUU589911 GEQ589911 GOM589911 GYI589911 HIE589911 HSA589911 IBW589911 ILS589911 IVO589911 JFK589911 JPG589911 JZC589911 KIY589911 KSU589911 LCQ589911 LMM589911 LWI589911 MGE589911 MQA589911 MZW589911 NJS589911 NTO589911 ODK589911 ONG589911 OXC589911 PGY589911 PQU589911 QAQ589911 QKM589911 QUI589911 REE589911 ROA589911 RXW589911 SHS589911 SRO589911 TBK589911 TLG589911 TVC589911 UEY589911 UOU589911 UYQ589911 VIM589911 VSI589911 WCE589911 WMA589911 WVW589911 O655447 JK655447 TG655447 ADC655447 AMY655447 AWU655447 BGQ655447 BQM655447 CAI655447 CKE655447 CUA655447 DDW655447 DNS655447 DXO655447 EHK655447 ERG655447 FBC655447 FKY655447 FUU655447 GEQ655447 GOM655447 GYI655447 HIE655447 HSA655447 IBW655447 ILS655447 IVO655447 JFK655447 JPG655447 JZC655447 KIY655447 KSU655447 LCQ655447 LMM655447 LWI655447 MGE655447 MQA655447 MZW655447 NJS655447 NTO655447 ODK655447 ONG655447 OXC655447 PGY655447 PQU655447 QAQ655447 QKM655447 QUI655447 REE655447 ROA655447 RXW655447 SHS655447 SRO655447 TBK655447 TLG655447 TVC655447 UEY655447 UOU655447 UYQ655447 VIM655447 VSI655447 WCE655447 WMA655447 WVW655447 O720983 JK720983 TG720983 ADC720983 AMY720983 AWU720983 BGQ720983 BQM720983 CAI720983 CKE720983 CUA720983 DDW720983 DNS720983 DXO720983 EHK720983 ERG720983 FBC720983 FKY720983 FUU720983 GEQ720983 GOM720983 GYI720983 HIE720983 HSA720983 IBW720983 ILS720983 IVO720983 JFK720983 JPG720983 JZC720983 KIY720983 KSU720983 LCQ720983 LMM720983 LWI720983 MGE720983 MQA720983 MZW720983 NJS720983 NTO720983 ODK720983 ONG720983 OXC720983 PGY720983 PQU720983 QAQ720983 QKM720983 QUI720983 REE720983 ROA720983 RXW720983 SHS720983 SRO720983 TBK720983 TLG720983 TVC720983 UEY720983 UOU720983 UYQ720983 VIM720983 VSI720983 WCE720983 WMA720983 WVW720983 O786519 JK786519 TG786519 ADC786519 AMY786519 AWU786519 BGQ786519 BQM786519 CAI786519 CKE786519 CUA786519 DDW786519 DNS786519 DXO786519 EHK786519 ERG786519 FBC786519 FKY786519 FUU786519 GEQ786519 GOM786519 GYI786519 HIE786519 HSA786519 IBW786519 ILS786519 IVO786519 JFK786519 JPG786519 JZC786519 KIY786519 KSU786519 LCQ786519 LMM786519 LWI786519 MGE786519 MQA786519 MZW786519 NJS786519 NTO786519 ODK786519 ONG786519 OXC786519 PGY786519 PQU786519 QAQ786519 QKM786519 QUI786519 REE786519 ROA786519 RXW786519 SHS786519 SRO786519 TBK786519 TLG786519 TVC786519 UEY786519 UOU786519 UYQ786519 VIM786519 VSI786519 WCE786519 WMA786519 WVW786519 O852055 JK852055 TG852055 ADC852055 AMY852055 AWU852055 BGQ852055 BQM852055 CAI852055 CKE852055 CUA852055 DDW852055 DNS852055 DXO852055 EHK852055 ERG852055 FBC852055 FKY852055 FUU852055 GEQ852055 GOM852055 GYI852055 HIE852055 HSA852055 IBW852055 ILS852055 IVO852055 JFK852055 JPG852055 JZC852055 KIY852055 KSU852055 LCQ852055 LMM852055 LWI852055 MGE852055 MQA852055 MZW852055 NJS852055 NTO852055 ODK852055 ONG852055 OXC852055 PGY852055 PQU852055 QAQ852055 QKM852055 QUI852055 REE852055 ROA852055 RXW852055 SHS852055 SRO852055 TBK852055 TLG852055 TVC852055 UEY852055 UOU852055 UYQ852055 VIM852055 VSI852055 WCE852055 WMA852055 WVW852055 O917591 JK917591 TG917591 ADC917591 AMY917591 AWU917591 BGQ917591 BQM917591 CAI917591 CKE917591 CUA917591 DDW917591 DNS917591 DXO917591 EHK917591 ERG917591 FBC917591 FKY917591 FUU917591 GEQ917591 GOM917591 GYI917591 HIE917591 HSA917591 IBW917591 ILS917591 IVO917591 JFK917591 JPG917591 JZC917591 KIY917591 KSU917591 LCQ917591 LMM917591 LWI917591 MGE917591 MQA917591 MZW917591 NJS917591 NTO917591 ODK917591 ONG917591 OXC917591 PGY917591 PQU917591 QAQ917591 QKM917591 QUI917591 REE917591 ROA917591 RXW917591 SHS917591 SRO917591 TBK917591 TLG917591 TVC917591 UEY917591 UOU917591 UYQ917591 VIM917591 VSI917591 WCE917591 WMA917591 WVW917591 O983127 JK983127 TG983127 ADC983127 AMY983127 AWU983127 BGQ983127 BQM983127 CAI983127 CKE983127 CUA983127 DDW983127 DNS983127 DXO983127 EHK983127 ERG983127 FBC983127 FKY983127 FUU983127 GEQ983127 GOM983127 GYI983127 HIE983127 HSA983127 IBW983127 ILS983127 IVO983127 JFK983127 JPG983127 JZC983127 KIY983127 KSU983127 LCQ983127 LMM983127 LWI983127 MGE983127 MQA983127 MZW983127 NJS983127 NTO983127 ODK983127 ONG983127 OXC983127 PGY983127 PQU983127 QAQ983127 QKM983127 QUI983127 REE983127 ROA983127 RXW983127 SHS983127 SRO983127 TBK983127 TLG983127 TVC983127 UEY983127 UOU983127 UYQ983127 VIM983127 VSI983127 WCE983127 WMA983127 WVW983127 CUA71:CUA77 JR79 TN79 ADJ79 ANF79 AXB79 BGX79 BQT79 CAP79 CKL79 CUH79 DED79 DNZ79 DXV79 EHR79 ERN79 FBJ79 FLF79 FVB79 GEX79 GOT79 GYP79 HIL79 HSH79 ICD79 ILZ79 IVV79 JFR79 JPN79 JZJ79 KJF79 KTB79 LCX79 LMT79 LWP79 MGL79 MQH79 NAD79 NJZ79 NTV79 ODR79 ONN79 OXJ79 PHF79 PRB79 QAX79 QKT79 QUP79 REL79 ROH79 RYD79 SHZ79 SRV79 TBR79 TLN79 TVJ79 UFF79 UPB79 UYX79 VIT79 VSP79 WCL79 WMH79 WWD79 V65618 JR65618 TN65618 ADJ65618 ANF65618 AXB65618 BGX65618 BQT65618 CAP65618 CKL65618 CUH65618 DED65618 DNZ65618 DXV65618 EHR65618 ERN65618 FBJ65618 FLF65618 FVB65618 GEX65618 GOT65618 GYP65618 HIL65618 HSH65618 ICD65618 ILZ65618 IVV65618 JFR65618 JPN65618 JZJ65618 KJF65618 KTB65618 LCX65618 LMT65618 LWP65618 MGL65618 MQH65618 NAD65618 NJZ65618 NTV65618 ODR65618 ONN65618 OXJ65618 PHF65618 PRB65618 QAX65618 QKT65618 QUP65618 REL65618 ROH65618 RYD65618 SHZ65618 SRV65618 TBR65618 TLN65618 TVJ65618 UFF65618 UPB65618 UYX65618 VIT65618 VSP65618 WCL65618 WMH65618 WWD65618 V131154 JR131154 TN131154 ADJ131154 ANF131154 AXB131154 BGX131154 BQT131154 CAP131154 CKL131154 CUH131154 DED131154 DNZ131154 DXV131154 EHR131154 ERN131154 FBJ131154 FLF131154 FVB131154 GEX131154 GOT131154 GYP131154 HIL131154 HSH131154 ICD131154 ILZ131154 IVV131154 JFR131154 JPN131154 JZJ131154 KJF131154 KTB131154 LCX131154 LMT131154 LWP131154 MGL131154 MQH131154 NAD131154 NJZ131154 NTV131154 ODR131154 ONN131154 OXJ131154 PHF131154 PRB131154 QAX131154 QKT131154 QUP131154 REL131154 ROH131154 RYD131154 SHZ131154 SRV131154 TBR131154 TLN131154 TVJ131154 UFF131154 UPB131154 UYX131154 VIT131154 VSP131154 WCL131154 WMH131154 WWD131154 V196690 JR196690 TN196690 ADJ196690 ANF196690 AXB196690 BGX196690 BQT196690 CAP196690 CKL196690 CUH196690 DED196690 DNZ196690 DXV196690 EHR196690 ERN196690 FBJ196690 FLF196690 FVB196690 GEX196690 GOT196690 GYP196690 HIL196690 HSH196690 ICD196690 ILZ196690 IVV196690 JFR196690 JPN196690 JZJ196690 KJF196690 KTB196690 LCX196690 LMT196690 LWP196690 MGL196690 MQH196690 NAD196690 NJZ196690 NTV196690 ODR196690 ONN196690 OXJ196690 PHF196690 PRB196690 QAX196690 QKT196690 QUP196690 REL196690 ROH196690 RYD196690 SHZ196690 SRV196690 TBR196690 TLN196690 TVJ196690 UFF196690 UPB196690 UYX196690 VIT196690 VSP196690 WCL196690 WMH196690 WWD196690 V262226 JR262226 TN262226 ADJ262226 ANF262226 AXB262226 BGX262226 BQT262226 CAP262226 CKL262226 CUH262226 DED262226 DNZ262226 DXV262226 EHR262226 ERN262226 FBJ262226 FLF262226 FVB262226 GEX262226 GOT262226 GYP262226 HIL262226 HSH262226 ICD262226 ILZ262226 IVV262226 JFR262226 JPN262226 JZJ262226 KJF262226 KTB262226 LCX262226 LMT262226 LWP262226 MGL262226 MQH262226 NAD262226 NJZ262226 NTV262226 ODR262226 ONN262226 OXJ262226 PHF262226 PRB262226 QAX262226 QKT262226 QUP262226 REL262226 ROH262226 RYD262226 SHZ262226 SRV262226 TBR262226 TLN262226 TVJ262226 UFF262226 UPB262226 UYX262226 VIT262226 VSP262226 WCL262226 WMH262226 WWD262226 V327762 JR327762 TN327762 ADJ327762 ANF327762 AXB327762 BGX327762 BQT327762 CAP327762 CKL327762 CUH327762 DED327762 DNZ327762 DXV327762 EHR327762 ERN327762 FBJ327762 FLF327762 FVB327762 GEX327762 GOT327762 GYP327762 HIL327762 HSH327762 ICD327762 ILZ327762 IVV327762 JFR327762 JPN327762 JZJ327762 KJF327762 KTB327762 LCX327762 LMT327762 LWP327762 MGL327762 MQH327762 NAD327762 NJZ327762 NTV327762 ODR327762 ONN327762 OXJ327762 PHF327762 PRB327762 QAX327762 QKT327762 QUP327762 REL327762 ROH327762 RYD327762 SHZ327762 SRV327762 TBR327762 TLN327762 TVJ327762 UFF327762 UPB327762 UYX327762 VIT327762 VSP327762 WCL327762 WMH327762 WWD327762 V393298 JR393298 TN393298 ADJ393298 ANF393298 AXB393298 BGX393298 BQT393298 CAP393298 CKL393298 CUH393298 DED393298 DNZ393298 DXV393298 EHR393298 ERN393298 FBJ393298 FLF393298 FVB393298 GEX393298 GOT393298 GYP393298 HIL393298 HSH393298 ICD393298 ILZ393298 IVV393298 JFR393298 JPN393298 JZJ393298 KJF393298 KTB393298 LCX393298 LMT393298 LWP393298 MGL393298 MQH393298 NAD393298 NJZ393298 NTV393298 ODR393298 ONN393298 OXJ393298 PHF393298 PRB393298 QAX393298 QKT393298 QUP393298 REL393298 ROH393298 RYD393298 SHZ393298 SRV393298 TBR393298 TLN393298 TVJ393298 UFF393298 UPB393298 UYX393298 VIT393298 VSP393298 WCL393298 WMH393298 WWD393298 V458834 JR458834 TN458834 ADJ458834 ANF458834 AXB458834 BGX458834 BQT458834 CAP458834 CKL458834 CUH458834 DED458834 DNZ458834 DXV458834 EHR458834 ERN458834 FBJ458834 FLF458834 FVB458834 GEX458834 GOT458834 GYP458834 HIL458834 HSH458834 ICD458834 ILZ458834 IVV458834 JFR458834 JPN458834 JZJ458834 KJF458834 KTB458834 LCX458834 LMT458834 LWP458834 MGL458834 MQH458834 NAD458834 NJZ458834 NTV458834 ODR458834 ONN458834 OXJ458834 PHF458834 PRB458834 QAX458834 QKT458834 QUP458834 REL458834 ROH458834 RYD458834 SHZ458834 SRV458834 TBR458834 TLN458834 TVJ458834 UFF458834 UPB458834 UYX458834 VIT458834 VSP458834 WCL458834 WMH458834 WWD458834 V524370 JR524370 TN524370 ADJ524370 ANF524370 AXB524370 BGX524370 BQT524370 CAP524370 CKL524370 CUH524370 DED524370 DNZ524370 DXV524370 EHR524370 ERN524370 FBJ524370 FLF524370 FVB524370 GEX524370 GOT524370 GYP524370 HIL524370 HSH524370 ICD524370 ILZ524370 IVV524370 JFR524370 JPN524370 JZJ524370 KJF524370 KTB524370 LCX524370 LMT524370 LWP524370 MGL524370 MQH524370 NAD524370 NJZ524370 NTV524370 ODR524370 ONN524370 OXJ524370 PHF524370 PRB524370 QAX524370 QKT524370 QUP524370 REL524370 ROH524370 RYD524370 SHZ524370 SRV524370 TBR524370 TLN524370 TVJ524370 UFF524370 UPB524370 UYX524370 VIT524370 VSP524370 WCL524370 WMH524370 WWD524370 V589906 JR589906 TN589906 ADJ589906 ANF589906 AXB589906 BGX589906 BQT589906 CAP589906 CKL589906 CUH589906 DED589906 DNZ589906 DXV589906 EHR589906 ERN589906 FBJ589906 FLF589906 FVB589906 GEX589906 GOT589906 GYP589906 HIL589906 HSH589906 ICD589906 ILZ589906 IVV589906 JFR589906 JPN589906 JZJ589906 KJF589906 KTB589906 LCX589906 LMT589906 LWP589906 MGL589906 MQH589906 NAD589906 NJZ589906 NTV589906 ODR589906 ONN589906 OXJ589906 PHF589906 PRB589906 QAX589906 QKT589906 QUP589906 REL589906 ROH589906 RYD589906 SHZ589906 SRV589906 TBR589906 TLN589906 TVJ589906 UFF589906 UPB589906 UYX589906 VIT589906 VSP589906 WCL589906 WMH589906 WWD589906 V655442 JR655442 TN655442 ADJ655442 ANF655442 AXB655442 BGX655442 BQT655442 CAP655442 CKL655442 CUH655442 DED655442 DNZ655442 DXV655442 EHR655442 ERN655442 FBJ655442 FLF655442 FVB655442 GEX655442 GOT655442 GYP655442 HIL655442 HSH655442 ICD655442 ILZ655442 IVV655442 JFR655442 JPN655442 JZJ655442 KJF655442 KTB655442 LCX655442 LMT655442 LWP655442 MGL655442 MQH655442 NAD655442 NJZ655442 NTV655442 ODR655442 ONN655442 OXJ655442 PHF655442 PRB655442 QAX655442 QKT655442 QUP655442 REL655442 ROH655442 RYD655442 SHZ655442 SRV655442 TBR655442 TLN655442 TVJ655442 UFF655442 UPB655442 UYX655442 VIT655442 VSP655442 WCL655442 WMH655442 WWD655442 V720978 JR720978 TN720978 ADJ720978 ANF720978 AXB720978 BGX720978 BQT720978 CAP720978 CKL720978 CUH720978 DED720978 DNZ720978 DXV720978 EHR720978 ERN720978 FBJ720978 FLF720978 FVB720978 GEX720978 GOT720978 GYP720978 HIL720978 HSH720978 ICD720978 ILZ720978 IVV720978 JFR720978 JPN720978 JZJ720978 KJF720978 KTB720978 LCX720978 LMT720978 LWP720978 MGL720978 MQH720978 NAD720978 NJZ720978 NTV720978 ODR720978 ONN720978 OXJ720978 PHF720978 PRB720978 QAX720978 QKT720978 QUP720978 REL720978 ROH720978 RYD720978 SHZ720978 SRV720978 TBR720978 TLN720978 TVJ720978 UFF720978 UPB720978 UYX720978 VIT720978 VSP720978 WCL720978 WMH720978 WWD720978 V786514 JR786514 TN786514 ADJ786514 ANF786514 AXB786514 BGX786514 BQT786514 CAP786514 CKL786514 CUH786514 DED786514 DNZ786514 DXV786514 EHR786514 ERN786514 FBJ786514 FLF786514 FVB786514 GEX786514 GOT786514 GYP786514 HIL786514 HSH786514 ICD786514 ILZ786514 IVV786514 JFR786514 JPN786514 JZJ786514 KJF786514 KTB786514 LCX786514 LMT786514 LWP786514 MGL786514 MQH786514 NAD786514 NJZ786514 NTV786514 ODR786514 ONN786514 OXJ786514 PHF786514 PRB786514 QAX786514 QKT786514 QUP786514 REL786514 ROH786514 RYD786514 SHZ786514 SRV786514 TBR786514 TLN786514 TVJ786514 UFF786514 UPB786514 UYX786514 VIT786514 VSP786514 WCL786514 WMH786514 WWD786514 V852050 JR852050 TN852050 ADJ852050 ANF852050 AXB852050 BGX852050 BQT852050 CAP852050 CKL852050 CUH852050 DED852050 DNZ852050 DXV852050 EHR852050 ERN852050 FBJ852050 FLF852050 FVB852050 GEX852050 GOT852050 GYP852050 HIL852050 HSH852050 ICD852050 ILZ852050 IVV852050 JFR852050 JPN852050 JZJ852050 KJF852050 KTB852050 LCX852050 LMT852050 LWP852050 MGL852050 MQH852050 NAD852050 NJZ852050 NTV852050 ODR852050 ONN852050 OXJ852050 PHF852050 PRB852050 QAX852050 QKT852050 QUP852050 REL852050 ROH852050 RYD852050 SHZ852050 SRV852050 TBR852050 TLN852050 TVJ852050 UFF852050 UPB852050 UYX852050 VIT852050 VSP852050 WCL852050 WMH852050 WWD852050 V917586 JR917586 TN917586 ADJ917586 ANF917586 AXB917586 BGX917586 BQT917586 CAP917586 CKL917586 CUH917586 DED917586 DNZ917586 DXV917586 EHR917586 ERN917586 FBJ917586 FLF917586 FVB917586 GEX917586 GOT917586 GYP917586 HIL917586 HSH917586 ICD917586 ILZ917586 IVV917586 JFR917586 JPN917586 JZJ917586 KJF917586 KTB917586 LCX917586 LMT917586 LWP917586 MGL917586 MQH917586 NAD917586 NJZ917586 NTV917586 ODR917586 ONN917586 OXJ917586 PHF917586 PRB917586 QAX917586 QKT917586 QUP917586 REL917586 ROH917586 RYD917586 SHZ917586 SRV917586 TBR917586 TLN917586 TVJ917586 UFF917586 UPB917586 UYX917586 VIT917586 VSP917586 WCL917586 WMH917586 WWD917586 V983122 JR983122 TN983122 ADJ983122 ANF983122 AXB983122 BGX983122 BQT983122 CAP983122 CKL983122 CUH983122 DED983122 DNZ983122 DXV983122 EHR983122 ERN983122 FBJ983122 FLF983122 FVB983122 GEX983122 GOT983122 GYP983122 HIL983122 HSH983122 ICD983122 ILZ983122 IVV983122 JFR983122 JPN983122 JZJ983122 KJF983122 KTB983122 LCX983122 LMT983122 LWP983122 MGL983122 MQH983122 NAD983122 NJZ983122 NTV983122 ODR983122 ONN983122 OXJ983122 PHF983122 PRB983122 QAX983122 QKT983122 QUP983122 REL983122 ROH983122 RYD983122 SHZ983122 SRV983122 TBR983122 TLN983122 TVJ983122 UFF983122 UPB983122 UYX983122 VIT983122 VSP983122 WCL983122 WMH983122 WWD983122 CKE71:CKE77 JR81:JR82 TN81:TN82 ADJ81:ADJ82 ANF81:ANF82 AXB81:AXB82 BGX81:BGX82 BQT81:BQT82 CAP81:CAP82 CKL81:CKL82 CUH81:CUH82 DED81:DED82 DNZ81:DNZ82 DXV81:DXV82 EHR81:EHR82 ERN81:ERN82 FBJ81:FBJ82 FLF81:FLF82 FVB81:FVB82 GEX81:GEX82 GOT81:GOT82 GYP81:GYP82 HIL81:HIL82 HSH81:HSH82 ICD81:ICD82 ILZ81:ILZ82 IVV81:IVV82 JFR81:JFR82 JPN81:JPN82 JZJ81:JZJ82 KJF81:KJF82 KTB81:KTB82 LCX81:LCX82 LMT81:LMT82 LWP81:LWP82 MGL81:MGL82 MQH81:MQH82 NAD81:NAD82 NJZ81:NJZ82 NTV81:NTV82 ODR81:ODR82 ONN81:ONN82 OXJ81:OXJ82 PHF81:PHF82 PRB81:PRB82 QAX81:QAX82 QKT81:QKT82 QUP81:QUP82 REL81:REL82 ROH81:ROH82 RYD81:RYD82 SHZ81:SHZ82 SRV81:SRV82 TBR81:TBR82 TLN81:TLN82 TVJ81:TVJ82 UFF81:UFF82 UPB81:UPB82 UYX81:UYX82 VIT81:VIT82 VSP81:VSP82 WCL81:WCL82 WMH81:WMH82 WWD81:WWD82 V65620:V65621 JR65620:JR65621 TN65620:TN65621 ADJ65620:ADJ65621 ANF65620:ANF65621 AXB65620:AXB65621 BGX65620:BGX65621 BQT65620:BQT65621 CAP65620:CAP65621 CKL65620:CKL65621 CUH65620:CUH65621 DED65620:DED65621 DNZ65620:DNZ65621 DXV65620:DXV65621 EHR65620:EHR65621 ERN65620:ERN65621 FBJ65620:FBJ65621 FLF65620:FLF65621 FVB65620:FVB65621 GEX65620:GEX65621 GOT65620:GOT65621 GYP65620:GYP65621 HIL65620:HIL65621 HSH65620:HSH65621 ICD65620:ICD65621 ILZ65620:ILZ65621 IVV65620:IVV65621 JFR65620:JFR65621 JPN65620:JPN65621 JZJ65620:JZJ65621 KJF65620:KJF65621 KTB65620:KTB65621 LCX65620:LCX65621 LMT65620:LMT65621 LWP65620:LWP65621 MGL65620:MGL65621 MQH65620:MQH65621 NAD65620:NAD65621 NJZ65620:NJZ65621 NTV65620:NTV65621 ODR65620:ODR65621 ONN65620:ONN65621 OXJ65620:OXJ65621 PHF65620:PHF65621 PRB65620:PRB65621 QAX65620:QAX65621 QKT65620:QKT65621 QUP65620:QUP65621 REL65620:REL65621 ROH65620:ROH65621 RYD65620:RYD65621 SHZ65620:SHZ65621 SRV65620:SRV65621 TBR65620:TBR65621 TLN65620:TLN65621 TVJ65620:TVJ65621 UFF65620:UFF65621 UPB65620:UPB65621 UYX65620:UYX65621 VIT65620:VIT65621 VSP65620:VSP65621 WCL65620:WCL65621 WMH65620:WMH65621 WWD65620:WWD65621 V131156:V131157 JR131156:JR131157 TN131156:TN131157 ADJ131156:ADJ131157 ANF131156:ANF131157 AXB131156:AXB131157 BGX131156:BGX131157 BQT131156:BQT131157 CAP131156:CAP131157 CKL131156:CKL131157 CUH131156:CUH131157 DED131156:DED131157 DNZ131156:DNZ131157 DXV131156:DXV131157 EHR131156:EHR131157 ERN131156:ERN131157 FBJ131156:FBJ131157 FLF131156:FLF131157 FVB131156:FVB131157 GEX131156:GEX131157 GOT131156:GOT131157 GYP131156:GYP131157 HIL131156:HIL131157 HSH131156:HSH131157 ICD131156:ICD131157 ILZ131156:ILZ131157 IVV131156:IVV131157 JFR131156:JFR131157 JPN131156:JPN131157 JZJ131156:JZJ131157 KJF131156:KJF131157 KTB131156:KTB131157 LCX131156:LCX131157 LMT131156:LMT131157 LWP131156:LWP131157 MGL131156:MGL131157 MQH131156:MQH131157 NAD131156:NAD131157 NJZ131156:NJZ131157 NTV131156:NTV131157 ODR131156:ODR131157 ONN131156:ONN131157 OXJ131156:OXJ131157 PHF131156:PHF131157 PRB131156:PRB131157 QAX131156:QAX131157 QKT131156:QKT131157 QUP131156:QUP131157 REL131156:REL131157 ROH131156:ROH131157 RYD131156:RYD131157 SHZ131156:SHZ131157 SRV131156:SRV131157 TBR131156:TBR131157 TLN131156:TLN131157 TVJ131156:TVJ131157 UFF131156:UFF131157 UPB131156:UPB131157 UYX131156:UYX131157 VIT131156:VIT131157 VSP131156:VSP131157 WCL131156:WCL131157 WMH131156:WMH131157 WWD131156:WWD131157 V196692:V196693 JR196692:JR196693 TN196692:TN196693 ADJ196692:ADJ196693 ANF196692:ANF196693 AXB196692:AXB196693 BGX196692:BGX196693 BQT196692:BQT196693 CAP196692:CAP196693 CKL196692:CKL196693 CUH196692:CUH196693 DED196692:DED196693 DNZ196692:DNZ196693 DXV196692:DXV196693 EHR196692:EHR196693 ERN196692:ERN196693 FBJ196692:FBJ196693 FLF196692:FLF196693 FVB196692:FVB196693 GEX196692:GEX196693 GOT196692:GOT196693 GYP196692:GYP196693 HIL196692:HIL196693 HSH196692:HSH196693 ICD196692:ICD196693 ILZ196692:ILZ196693 IVV196692:IVV196693 JFR196692:JFR196693 JPN196692:JPN196693 JZJ196692:JZJ196693 KJF196692:KJF196693 KTB196692:KTB196693 LCX196692:LCX196693 LMT196692:LMT196693 LWP196692:LWP196693 MGL196692:MGL196693 MQH196692:MQH196693 NAD196692:NAD196693 NJZ196692:NJZ196693 NTV196692:NTV196693 ODR196692:ODR196693 ONN196692:ONN196693 OXJ196692:OXJ196693 PHF196692:PHF196693 PRB196692:PRB196693 QAX196692:QAX196693 QKT196692:QKT196693 QUP196692:QUP196693 REL196692:REL196693 ROH196692:ROH196693 RYD196692:RYD196693 SHZ196692:SHZ196693 SRV196692:SRV196693 TBR196692:TBR196693 TLN196692:TLN196693 TVJ196692:TVJ196693 UFF196692:UFF196693 UPB196692:UPB196693 UYX196692:UYX196693 VIT196692:VIT196693 VSP196692:VSP196693 WCL196692:WCL196693 WMH196692:WMH196693 WWD196692:WWD196693 V262228:V262229 JR262228:JR262229 TN262228:TN262229 ADJ262228:ADJ262229 ANF262228:ANF262229 AXB262228:AXB262229 BGX262228:BGX262229 BQT262228:BQT262229 CAP262228:CAP262229 CKL262228:CKL262229 CUH262228:CUH262229 DED262228:DED262229 DNZ262228:DNZ262229 DXV262228:DXV262229 EHR262228:EHR262229 ERN262228:ERN262229 FBJ262228:FBJ262229 FLF262228:FLF262229 FVB262228:FVB262229 GEX262228:GEX262229 GOT262228:GOT262229 GYP262228:GYP262229 HIL262228:HIL262229 HSH262228:HSH262229 ICD262228:ICD262229 ILZ262228:ILZ262229 IVV262228:IVV262229 JFR262228:JFR262229 JPN262228:JPN262229 JZJ262228:JZJ262229 KJF262228:KJF262229 KTB262228:KTB262229 LCX262228:LCX262229 LMT262228:LMT262229 LWP262228:LWP262229 MGL262228:MGL262229 MQH262228:MQH262229 NAD262228:NAD262229 NJZ262228:NJZ262229 NTV262228:NTV262229 ODR262228:ODR262229 ONN262228:ONN262229 OXJ262228:OXJ262229 PHF262228:PHF262229 PRB262228:PRB262229 QAX262228:QAX262229 QKT262228:QKT262229 QUP262228:QUP262229 REL262228:REL262229 ROH262228:ROH262229 RYD262228:RYD262229 SHZ262228:SHZ262229 SRV262228:SRV262229 TBR262228:TBR262229 TLN262228:TLN262229 TVJ262228:TVJ262229 UFF262228:UFF262229 UPB262228:UPB262229 UYX262228:UYX262229 VIT262228:VIT262229 VSP262228:VSP262229 WCL262228:WCL262229 WMH262228:WMH262229 WWD262228:WWD262229 V327764:V327765 JR327764:JR327765 TN327764:TN327765 ADJ327764:ADJ327765 ANF327764:ANF327765 AXB327764:AXB327765 BGX327764:BGX327765 BQT327764:BQT327765 CAP327764:CAP327765 CKL327764:CKL327765 CUH327764:CUH327765 DED327764:DED327765 DNZ327764:DNZ327765 DXV327764:DXV327765 EHR327764:EHR327765 ERN327764:ERN327765 FBJ327764:FBJ327765 FLF327764:FLF327765 FVB327764:FVB327765 GEX327764:GEX327765 GOT327764:GOT327765 GYP327764:GYP327765 HIL327764:HIL327765 HSH327764:HSH327765 ICD327764:ICD327765 ILZ327764:ILZ327765 IVV327764:IVV327765 JFR327764:JFR327765 JPN327764:JPN327765 JZJ327764:JZJ327765 KJF327764:KJF327765 KTB327764:KTB327765 LCX327764:LCX327765 LMT327764:LMT327765 LWP327764:LWP327765 MGL327764:MGL327765 MQH327764:MQH327765 NAD327764:NAD327765 NJZ327764:NJZ327765 NTV327764:NTV327765 ODR327764:ODR327765 ONN327764:ONN327765 OXJ327764:OXJ327765 PHF327764:PHF327765 PRB327764:PRB327765 QAX327764:QAX327765 QKT327764:QKT327765 QUP327764:QUP327765 REL327764:REL327765 ROH327764:ROH327765 RYD327764:RYD327765 SHZ327764:SHZ327765 SRV327764:SRV327765 TBR327764:TBR327765 TLN327764:TLN327765 TVJ327764:TVJ327765 UFF327764:UFF327765 UPB327764:UPB327765 UYX327764:UYX327765 VIT327764:VIT327765 VSP327764:VSP327765 WCL327764:WCL327765 WMH327764:WMH327765 WWD327764:WWD327765 V393300:V393301 JR393300:JR393301 TN393300:TN393301 ADJ393300:ADJ393301 ANF393300:ANF393301 AXB393300:AXB393301 BGX393300:BGX393301 BQT393300:BQT393301 CAP393300:CAP393301 CKL393300:CKL393301 CUH393300:CUH393301 DED393300:DED393301 DNZ393300:DNZ393301 DXV393300:DXV393301 EHR393300:EHR393301 ERN393300:ERN393301 FBJ393300:FBJ393301 FLF393300:FLF393301 FVB393300:FVB393301 GEX393300:GEX393301 GOT393300:GOT393301 GYP393300:GYP393301 HIL393300:HIL393301 HSH393300:HSH393301 ICD393300:ICD393301 ILZ393300:ILZ393301 IVV393300:IVV393301 JFR393300:JFR393301 JPN393300:JPN393301 JZJ393300:JZJ393301 KJF393300:KJF393301 KTB393300:KTB393301 LCX393300:LCX393301 LMT393300:LMT393301 LWP393300:LWP393301 MGL393300:MGL393301 MQH393300:MQH393301 NAD393300:NAD393301 NJZ393300:NJZ393301 NTV393300:NTV393301 ODR393300:ODR393301 ONN393300:ONN393301 OXJ393300:OXJ393301 PHF393300:PHF393301 PRB393300:PRB393301 QAX393300:QAX393301 QKT393300:QKT393301 QUP393300:QUP393301 REL393300:REL393301 ROH393300:ROH393301 RYD393300:RYD393301 SHZ393300:SHZ393301 SRV393300:SRV393301 TBR393300:TBR393301 TLN393300:TLN393301 TVJ393300:TVJ393301 UFF393300:UFF393301 UPB393300:UPB393301 UYX393300:UYX393301 VIT393300:VIT393301 VSP393300:VSP393301 WCL393300:WCL393301 WMH393300:WMH393301 WWD393300:WWD393301 V458836:V458837 JR458836:JR458837 TN458836:TN458837 ADJ458836:ADJ458837 ANF458836:ANF458837 AXB458836:AXB458837 BGX458836:BGX458837 BQT458836:BQT458837 CAP458836:CAP458837 CKL458836:CKL458837 CUH458836:CUH458837 DED458836:DED458837 DNZ458836:DNZ458837 DXV458836:DXV458837 EHR458836:EHR458837 ERN458836:ERN458837 FBJ458836:FBJ458837 FLF458836:FLF458837 FVB458836:FVB458837 GEX458836:GEX458837 GOT458836:GOT458837 GYP458836:GYP458837 HIL458836:HIL458837 HSH458836:HSH458837 ICD458836:ICD458837 ILZ458836:ILZ458837 IVV458836:IVV458837 JFR458836:JFR458837 JPN458836:JPN458837 JZJ458836:JZJ458837 KJF458836:KJF458837 KTB458836:KTB458837 LCX458836:LCX458837 LMT458836:LMT458837 LWP458836:LWP458837 MGL458836:MGL458837 MQH458836:MQH458837 NAD458836:NAD458837 NJZ458836:NJZ458837 NTV458836:NTV458837 ODR458836:ODR458837 ONN458836:ONN458837 OXJ458836:OXJ458837 PHF458836:PHF458837 PRB458836:PRB458837 QAX458836:QAX458837 QKT458836:QKT458837 QUP458836:QUP458837 REL458836:REL458837 ROH458836:ROH458837 RYD458836:RYD458837 SHZ458836:SHZ458837 SRV458836:SRV458837 TBR458836:TBR458837 TLN458836:TLN458837 TVJ458836:TVJ458837 UFF458836:UFF458837 UPB458836:UPB458837 UYX458836:UYX458837 VIT458836:VIT458837 VSP458836:VSP458837 WCL458836:WCL458837 WMH458836:WMH458837 WWD458836:WWD458837 V524372:V524373 JR524372:JR524373 TN524372:TN524373 ADJ524372:ADJ524373 ANF524372:ANF524373 AXB524372:AXB524373 BGX524372:BGX524373 BQT524372:BQT524373 CAP524372:CAP524373 CKL524372:CKL524373 CUH524372:CUH524373 DED524372:DED524373 DNZ524372:DNZ524373 DXV524372:DXV524373 EHR524372:EHR524373 ERN524372:ERN524373 FBJ524372:FBJ524373 FLF524372:FLF524373 FVB524372:FVB524373 GEX524372:GEX524373 GOT524372:GOT524373 GYP524372:GYP524373 HIL524372:HIL524373 HSH524372:HSH524373 ICD524372:ICD524373 ILZ524372:ILZ524373 IVV524372:IVV524373 JFR524372:JFR524373 JPN524372:JPN524373 JZJ524372:JZJ524373 KJF524372:KJF524373 KTB524372:KTB524373 LCX524372:LCX524373 LMT524372:LMT524373 LWP524372:LWP524373 MGL524372:MGL524373 MQH524372:MQH524373 NAD524372:NAD524373 NJZ524372:NJZ524373 NTV524372:NTV524373 ODR524372:ODR524373 ONN524372:ONN524373 OXJ524372:OXJ524373 PHF524372:PHF524373 PRB524372:PRB524373 QAX524372:QAX524373 QKT524372:QKT524373 QUP524372:QUP524373 REL524372:REL524373 ROH524372:ROH524373 RYD524372:RYD524373 SHZ524372:SHZ524373 SRV524372:SRV524373 TBR524372:TBR524373 TLN524372:TLN524373 TVJ524372:TVJ524373 UFF524372:UFF524373 UPB524372:UPB524373 UYX524372:UYX524373 VIT524372:VIT524373 VSP524372:VSP524373 WCL524372:WCL524373 WMH524372:WMH524373 WWD524372:WWD524373 V589908:V589909 JR589908:JR589909 TN589908:TN589909 ADJ589908:ADJ589909 ANF589908:ANF589909 AXB589908:AXB589909 BGX589908:BGX589909 BQT589908:BQT589909 CAP589908:CAP589909 CKL589908:CKL589909 CUH589908:CUH589909 DED589908:DED589909 DNZ589908:DNZ589909 DXV589908:DXV589909 EHR589908:EHR589909 ERN589908:ERN589909 FBJ589908:FBJ589909 FLF589908:FLF589909 FVB589908:FVB589909 GEX589908:GEX589909 GOT589908:GOT589909 GYP589908:GYP589909 HIL589908:HIL589909 HSH589908:HSH589909 ICD589908:ICD589909 ILZ589908:ILZ589909 IVV589908:IVV589909 JFR589908:JFR589909 JPN589908:JPN589909 JZJ589908:JZJ589909 KJF589908:KJF589909 KTB589908:KTB589909 LCX589908:LCX589909 LMT589908:LMT589909 LWP589908:LWP589909 MGL589908:MGL589909 MQH589908:MQH589909 NAD589908:NAD589909 NJZ589908:NJZ589909 NTV589908:NTV589909 ODR589908:ODR589909 ONN589908:ONN589909 OXJ589908:OXJ589909 PHF589908:PHF589909 PRB589908:PRB589909 QAX589908:QAX589909 QKT589908:QKT589909 QUP589908:QUP589909 REL589908:REL589909 ROH589908:ROH589909 RYD589908:RYD589909 SHZ589908:SHZ589909 SRV589908:SRV589909 TBR589908:TBR589909 TLN589908:TLN589909 TVJ589908:TVJ589909 UFF589908:UFF589909 UPB589908:UPB589909 UYX589908:UYX589909 VIT589908:VIT589909 VSP589908:VSP589909 WCL589908:WCL589909 WMH589908:WMH589909 WWD589908:WWD589909 V655444:V655445 JR655444:JR655445 TN655444:TN655445 ADJ655444:ADJ655445 ANF655444:ANF655445 AXB655444:AXB655445 BGX655444:BGX655445 BQT655444:BQT655445 CAP655444:CAP655445 CKL655444:CKL655445 CUH655444:CUH655445 DED655444:DED655445 DNZ655444:DNZ655445 DXV655444:DXV655445 EHR655444:EHR655445 ERN655444:ERN655445 FBJ655444:FBJ655445 FLF655444:FLF655445 FVB655444:FVB655445 GEX655444:GEX655445 GOT655444:GOT655445 GYP655444:GYP655445 HIL655444:HIL655445 HSH655444:HSH655445 ICD655444:ICD655445 ILZ655444:ILZ655445 IVV655444:IVV655445 JFR655444:JFR655445 JPN655444:JPN655445 JZJ655444:JZJ655445 KJF655444:KJF655445 KTB655444:KTB655445 LCX655444:LCX655445 LMT655444:LMT655445 LWP655444:LWP655445 MGL655444:MGL655445 MQH655444:MQH655445 NAD655444:NAD655445 NJZ655444:NJZ655445 NTV655444:NTV655445 ODR655444:ODR655445 ONN655444:ONN655445 OXJ655444:OXJ655445 PHF655444:PHF655445 PRB655444:PRB655445 QAX655444:QAX655445 QKT655444:QKT655445 QUP655444:QUP655445 REL655444:REL655445 ROH655444:ROH655445 RYD655444:RYD655445 SHZ655444:SHZ655445 SRV655444:SRV655445 TBR655444:TBR655445 TLN655444:TLN655445 TVJ655444:TVJ655445 UFF655444:UFF655445 UPB655444:UPB655445 UYX655444:UYX655445 VIT655444:VIT655445 VSP655444:VSP655445 WCL655444:WCL655445 WMH655444:WMH655445 WWD655444:WWD655445 V720980:V720981 JR720980:JR720981 TN720980:TN720981 ADJ720980:ADJ720981 ANF720980:ANF720981 AXB720980:AXB720981 BGX720980:BGX720981 BQT720980:BQT720981 CAP720980:CAP720981 CKL720980:CKL720981 CUH720980:CUH720981 DED720980:DED720981 DNZ720980:DNZ720981 DXV720980:DXV720981 EHR720980:EHR720981 ERN720980:ERN720981 FBJ720980:FBJ720981 FLF720980:FLF720981 FVB720980:FVB720981 GEX720980:GEX720981 GOT720980:GOT720981 GYP720980:GYP720981 HIL720980:HIL720981 HSH720980:HSH720981 ICD720980:ICD720981 ILZ720980:ILZ720981 IVV720980:IVV720981 JFR720980:JFR720981 JPN720980:JPN720981 JZJ720980:JZJ720981 KJF720980:KJF720981 KTB720980:KTB720981 LCX720980:LCX720981 LMT720980:LMT720981 LWP720980:LWP720981 MGL720980:MGL720981 MQH720980:MQH720981 NAD720980:NAD720981 NJZ720980:NJZ720981 NTV720980:NTV720981 ODR720980:ODR720981 ONN720980:ONN720981 OXJ720980:OXJ720981 PHF720980:PHF720981 PRB720980:PRB720981 QAX720980:QAX720981 QKT720980:QKT720981 QUP720980:QUP720981 REL720980:REL720981 ROH720980:ROH720981 RYD720980:RYD720981 SHZ720980:SHZ720981 SRV720980:SRV720981 TBR720980:TBR720981 TLN720980:TLN720981 TVJ720980:TVJ720981 UFF720980:UFF720981 UPB720980:UPB720981 UYX720980:UYX720981 VIT720980:VIT720981 VSP720980:VSP720981 WCL720980:WCL720981 WMH720980:WMH720981 WWD720980:WWD720981 V786516:V786517 JR786516:JR786517 TN786516:TN786517 ADJ786516:ADJ786517 ANF786516:ANF786517 AXB786516:AXB786517 BGX786516:BGX786517 BQT786516:BQT786517 CAP786516:CAP786517 CKL786516:CKL786517 CUH786516:CUH786517 DED786516:DED786517 DNZ786516:DNZ786517 DXV786516:DXV786517 EHR786516:EHR786517 ERN786516:ERN786517 FBJ786516:FBJ786517 FLF786516:FLF786517 FVB786516:FVB786517 GEX786516:GEX786517 GOT786516:GOT786517 GYP786516:GYP786517 HIL786516:HIL786517 HSH786516:HSH786517 ICD786516:ICD786517 ILZ786516:ILZ786517 IVV786516:IVV786517 JFR786516:JFR786517 JPN786516:JPN786517 JZJ786516:JZJ786517 KJF786516:KJF786517 KTB786516:KTB786517 LCX786516:LCX786517 LMT786516:LMT786517 LWP786516:LWP786517 MGL786516:MGL786517 MQH786516:MQH786517 NAD786516:NAD786517 NJZ786516:NJZ786517 NTV786516:NTV786517 ODR786516:ODR786517 ONN786516:ONN786517 OXJ786516:OXJ786517 PHF786516:PHF786517 PRB786516:PRB786517 QAX786516:QAX786517 QKT786516:QKT786517 QUP786516:QUP786517 REL786516:REL786517 ROH786516:ROH786517 RYD786516:RYD786517 SHZ786516:SHZ786517 SRV786516:SRV786517 TBR786516:TBR786517 TLN786516:TLN786517 TVJ786516:TVJ786517 UFF786516:UFF786517 UPB786516:UPB786517 UYX786516:UYX786517 VIT786516:VIT786517 VSP786516:VSP786517 WCL786516:WCL786517 WMH786516:WMH786517 WWD786516:WWD786517 V852052:V852053 JR852052:JR852053 TN852052:TN852053 ADJ852052:ADJ852053 ANF852052:ANF852053 AXB852052:AXB852053 BGX852052:BGX852053 BQT852052:BQT852053 CAP852052:CAP852053 CKL852052:CKL852053 CUH852052:CUH852053 DED852052:DED852053 DNZ852052:DNZ852053 DXV852052:DXV852053 EHR852052:EHR852053 ERN852052:ERN852053 FBJ852052:FBJ852053 FLF852052:FLF852053 FVB852052:FVB852053 GEX852052:GEX852053 GOT852052:GOT852053 GYP852052:GYP852053 HIL852052:HIL852053 HSH852052:HSH852053 ICD852052:ICD852053 ILZ852052:ILZ852053 IVV852052:IVV852053 JFR852052:JFR852053 JPN852052:JPN852053 JZJ852052:JZJ852053 KJF852052:KJF852053 KTB852052:KTB852053 LCX852052:LCX852053 LMT852052:LMT852053 LWP852052:LWP852053 MGL852052:MGL852053 MQH852052:MQH852053 NAD852052:NAD852053 NJZ852052:NJZ852053 NTV852052:NTV852053 ODR852052:ODR852053 ONN852052:ONN852053 OXJ852052:OXJ852053 PHF852052:PHF852053 PRB852052:PRB852053 QAX852052:QAX852053 QKT852052:QKT852053 QUP852052:QUP852053 REL852052:REL852053 ROH852052:ROH852053 RYD852052:RYD852053 SHZ852052:SHZ852053 SRV852052:SRV852053 TBR852052:TBR852053 TLN852052:TLN852053 TVJ852052:TVJ852053 UFF852052:UFF852053 UPB852052:UPB852053 UYX852052:UYX852053 VIT852052:VIT852053 VSP852052:VSP852053 WCL852052:WCL852053 WMH852052:WMH852053 WWD852052:WWD852053 V917588:V917589 JR917588:JR917589 TN917588:TN917589 ADJ917588:ADJ917589 ANF917588:ANF917589 AXB917588:AXB917589 BGX917588:BGX917589 BQT917588:BQT917589 CAP917588:CAP917589 CKL917588:CKL917589 CUH917588:CUH917589 DED917588:DED917589 DNZ917588:DNZ917589 DXV917588:DXV917589 EHR917588:EHR917589 ERN917588:ERN917589 FBJ917588:FBJ917589 FLF917588:FLF917589 FVB917588:FVB917589 GEX917588:GEX917589 GOT917588:GOT917589 GYP917588:GYP917589 HIL917588:HIL917589 HSH917588:HSH917589 ICD917588:ICD917589 ILZ917588:ILZ917589 IVV917588:IVV917589 JFR917588:JFR917589 JPN917588:JPN917589 JZJ917588:JZJ917589 KJF917588:KJF917589 KTB917588:KTB917589 LCX917588:LCX917589 LMT917588:LMT917589 LWP917588:LWP917589 MGL917588:MGL917589 MQH917588:MQH917589 NAD917588:NAD917589 NJZ917588:NJZ917589 NTV917588:NTV917589 ODR917588:ODR917589 ONN917588:ONN917589 OXJ917588:OXJ917589 PHF917588:PHF917589 PRB917588:PRB917589 QAX917588:QAX917589 QKT917588:QKT917589 QUP917588:QUP917589 REL917588:REL917589 ROH917588:ROH917589 RYD917588:RYD917589 SHZ917588:SHZ917589 SRV917588:SRV917589 TBR917588:TBR917589 TLN917588:TLN917589 TVJ917588:TVJ917589 UFF917588:UFF917589 UPB917588:UPB917589 UYX917588:UYX917589 VIT917588:VIT917589 VSP917588:VSP917589 WCL917588:WCL917589 WMH917588:WMH917589 WWD917588:WWD917589 V983124:V983125 JR983124:JR983125 TN983124:TN983125 ADJ983124:ADJ983125 ANF983124:ANF983125 AXB983124:AXB983125 BGX983124:BGX983125 BQT983124:BQT983125 CAP983124:CAP983125 CKL983124:CKL983125 CUH983124:CUH983125 DED983124:DED983125 DNZ983124:DNZ983125 DXV983124:DXV983125 EHR983124:EHR983125 ERN983124:ERN983125 FBJ983124:FBJ983125 FLF983124:FLF983125 FVB983124:FVB983125 GEX983124:GEX983125 GOT983124:GOT983125 GYP983124:GYP983125 HIL983124:HIL983125 HSH983124:HSH983125 ICD983124:ICD983125 ILZ983124:ILZ983125 IVV983124:IVV983125 JFR983124:JFR983125 JPN983124:JPN983125 JZJ983124:JZJ983125 KJF983124:KJF983125 KTB983124:KTB983125 LCX983124:LCX983125 LMT983124:LMT983125 LWP983124:LWP983125 MGL983124:MGL983125 MQH983124:MQH983125 NAD983124:NAD983125 NJZ983124:NJZ983125 NTV983124:NTV983125 ODR983124:ODR983125 ONN983124:ONN983125 OXJ983124:OXJ983125 PHF983124:PHF983125 PRB983124:PRB983125 QAX983124:QAX983125 QKT983124:QKT983125 QUP983124:QUP983125 REL983124:REL983125 ROH983124:ROH983125 RYD983124:RYD983125 SHZ983124:SHZ983125 SRV983124:SRV983125 TBR983124:TBR983125 TLN983124:TLN983125 TVJ983124:TVJ983125 UFF983124:UFF983125 UPB983124:UPB983125 UYX983124:UYX983125 VIT983124:VIT983125 VSP983124:VSP983125 WCL983124:WCL983125 WMH983124:WMH983125 WWD983124:WWD983125 AMY71:AMY77 JR84:JR86 TN84:TN86 ADJ84:ADJ86 ANF84:ANF86 AXB84:AXB86 BGX84:BGX86 BQT84:BQT86 CAP84:CAP86 CKL84:CKL86 CUH84:CUH86 DED84:DED86 DNZ84:DNZ86 DXV84:DXV86 EHR84:EHR86 ERN84:ERN86 FBJ84:FBJ86 FLF84:FLF86 FVB84:FVB86 GEX84:GEX86 GOT84:GOT86 GYP84:GYP86 HIL84:HIL86 HSH84:HSH86 ICD84:ICD86 ILZ84:ILZ86 IVV84:IVV86 JFR84:JFR86 JPN84:JPN86 JZJ84:JZJ86 KJF84:KJF86 KTB84:KTB86 LCX84:LCX86 LMT84:LMT86 LWP84:LWP86 MGL84:MGL86 MQH84:MQH86 NAD84:NAD86 NJZ84:NJZ86 NTV84:NTV86 ODR84:ODR86 ONN84:ONN86 OXJ84:OXJ86 PHF84:PHF86 PRB84:PRB86 QAX84:QAX86 QKT84:QKT86 QUP84:QUP86 REL84:REL86 ROH84:ROH86 RYD84:RYD86 SHZ84:SHZ86 SRV84:SRV86 TBR84:TBR86 TLN84:TLN86 TVJ84:TVJ86 UFF84:UFF86 UPB84:UPB86 UYX84:UYX86 VIT84:VIT86 VSP84:VSP86 WCL84:WCL86 WMH84:WMH86 WWD84:WWD86 V65623 JR65623 TN65623 ADJ65623 ANF65623 AXB65623 BGX65623 BQT65623 CAP65623 CKL65623 CUH65623 DED65623 DNZ65623 DXV65623 EHR65623 ERN65623 FBJ65623 FLF65623 FVB65623 GEX65623 GOT65623 GYP65623 HIL65623 HSH65623 ICD65623 ILZ65623 IVV65623 JFR65623 JPN65623 JZJ65623 KJF65623 KTB65623 LCX65623 LMT65623 LWP65623 MGL65623 MQH65623 NAD65623 NJZ65623 NTV65623 ODR65623 ONN65623 OXJ65623 PHF65623 PRB65623 QAX65623 QKT65623 QUP65623 REL65623 ROH65623 RYD65623 SHZ65623 SRV65623 TBR65623 TLN65623 TVJ65623 UFF65623 UPB65623 UYX65623 VIT65623 VSP65623 WCL65623 WMH65623 WWD65623 V131159 JR131159 TN131159 ADJ131159 ANF131159 AXB131159 BGX131159 BQT131159 CAP131159 CKL131159 CUH131159 DED131159 DNZ131159 DXV131159 EHR131159 ERN131159 FBJ131159 FLF131159 FVB131159 GEX131159 GOT131159 GYP131159 HIL131159 HSH131159 ICD131159 ILZ131159 IVV131159 JFR131159 JPN131159 JZJ131159 KJF131159 KTB131159 LCX131159 LMT131159 LWP131159 MGL131159 MQH131159 NAD131159 NJZ131159 NTV131159 ODR131159 ONN131159 OXJ131159 PHF131159 PRB131159 QAX131159 QKT131159 QUP131159 REL131159 ROH131159 RYD131159 SHZ131159 SRV131159 TBR131159 TLN131159 TVJ131159 UFF131159 UPB131159 UYX131159 VIT131159 VSP131159 WCL131159 WMH131159 WWD131159 V196695 JR196695 TN196695 ADJ196695 ANF196695 AXB196695 BGX196695 BQT196695 CAP196695 CKL196695 CUH196695 DED196695 DNZ196695 DXV196695 EHR196695 ERN196695 FBJ196695 FLF196695 FVB196695 GEX196695 GOT196695 GYP196695 HIL196695 HSH196695 ICD196695 ILZ196695 IVV196695 JFR196695 JPN196695 JZJ196695 KJF196695 KTB196695 LCX196695 LMT196695 LWP196695 MGL196695 MQH196695 NAD196695 NJZ196695 NTV196695 ODR196695 ONN196695 OXJ196695 PHF196695 PRB196695 QAX196695 QKT196695 QUP196695 REL196695 ROH196695 RYD196695 SHZ196695 SRV196695 TBR196695 TLN196695 TVJ196695 UFF196695 UPB196695 UYX196695 VIT196695 VSP196695 WCL196695 WMH196695 WWD196695 V262231 JR262231 TN262231 ADJ262231 ANF262231 AXB262231 BGX262231 BQT262231 CAP262231 CKL262231 CUH262231 DED262231 DNZ262231 DXV262231 EHR262231 ERN262231 FBJ262231 FLF262231 FVB262231 GEX262231 GOT262231 GYP262231 HIL262231 HSH262231 ICD262231 ILZ262231 IVV262231 JFR262231 JPN262231 JZJ262231 KJF262231 KTB262231 LCX262231 LMT262231 LWP262231 MGL262231 MQH262231 NAD262231 NJZ262231 NTV262231 ODR262231 ONN262231 OXJ262231 PHF262231 PRB262231 QAX262231 QKT262231 QUP262231 REL262231 ROH262231 RYD262231 SHZ262231 SRV262231 TBR262231 TLN262231 TVJ262231 UFF262231 UPB262231 UYX262231 VIT262231 VSP262231 WCL262231 WMH262231 WWD262231 V327767 JR327767 TN327767 ADJ327767 ANF327767 AXB327767 BGX327767 BQT327767 CAP327767 CKL327767 CUH327767 DED327767 DNZ327767 DXV327767 EHR327767 ERN327767 FBJ327767 FLF327767 FVB327767 GEX327767 GOT327767 GYP327767 HIL327767 HSH327767 ICD327767 ILZ327767 IVV327767 JFR327767 JPN327767 JZJ327767 KJF327767 KTB327767 LCX327767 LMT327767 LWP327767 MGL327767 MQH327767 NAD327767 NJZ327767 NTV327767 ODR327767 ONN327767 OXJ327767 PHF327767 PRB327767 QAX327767 QKT327767 QUP327767 REL327767 ROH327767 RYD327767 SHZ327767 SRV327767 TBR327767 TLN327767 TVJ327767 UFF327767 UPB327767 UYX327767 VIT327767 VSP327767 WCL327767 WMH327767 WWD327767 V393303 JR393303 TN393303 ADJ393303 ANF393303 AXB393303 BGX393303 BQT393303 CAP393303 CKL393303 CUH393303 DED393303 DNZ393303 DXV393303 EHR393303 ERN393303 FBJ393303 FLF393303 FVB393303 GEX393303 GOT393303 GYP393303 HIL393303 HSH393303 ICD393303 ILZ393303 IVV393303 JFR393303 JPN393303 JZJ393303 KJF393303 KTB393303 LCX393303 LMT393303 LWP393303 MGL393303 MQH393303 NAD393303 NJZ393303 NTV393303 ODR393303 ONN393303 OXJ393303 PHF393303 PRB393303 QAX393303 QKT393303 QUP393303 REL393303 ROH393303 RYD393303 SHZ393303 SRV393303 TBR393303 TLN393303 TVJ393303 UFF393303 UPB393303 UYX393303 VIT393303 VSP393303 WCL393303 WMH393303 WWD393303 V458839 JR458839 TN458839 ADJ458839 ANF458839 AXB458839 BGX458839 BQT458839 CAP458839 CKL458839 CUH458839 DED458839 DNZ458839 DXV458839 EHR458839 ERN458839 FBJ458839 FLF458839 FVB458839 GEX458839 GOT458839 GYP458839 HIL458839 HSH458839 ICD458839 ILZ458839 IVV458839 JFR458839 JPN458839 JZJ458839 KJF458839 KTB458839 LCX458839 LMT458839 LWP458839 MGL458839 MQH458839 NAD458839 NJZ458839 NTV458839 ODR458839 ONN458839 OXJ458839 PHF458839 PRB458839 QAX458839 QKT458839 QUP458839 REL458839 ROH458839 RYD458839 SHZ458839 SRV458839 TBR458839 TLN458839 TVJ458839 UFF458839 UPB458839 UYX458839 VIT458839 VSP458839 WCL458839 WMH458839 WWD458839 V524375 JR524375 TN524375 ADJ524375 ANF524375 AXB524375 BGX524375 BQT524375 CAP524375 CKL524375 CUH524375 DED524375 DNZ524375 DXV524375 EHR524375 ERN524375 FBJ524375 FLF524375 FVB524375 GEX524375 GOT524375 GYP524375 HIL524375 HSH524375 ICD524375 ILZ524375 IVV524375 JFR524375 JPN524375 JZJ524375 KJF524375 KTB524375 LCX524375 LMT524375 LWP524375 MGL524375 MQH524375 NAD524375 NJZ524375 NTV524375 ODR524375 ONN524375 OXJ524375 PHF524375 PRB524375 QAX524375 QKT524375 QUP524375 REL524375 ROH524375 RYD524375 SHZ524375 SRV524375 TBR524375 TLN524375 TVJ524375 UFF524375 UPB524375 UYX524375 VIT524375 VSP524375 WCL524375 WMH524375 WWD524375 V589911 JR589911 TN589911 ADJ589911 ANF589911 AXB589911 BGX589911 BQT589911 CAP589911 CKL589911 CUH589911 DED589911 DNZ589911 DXV589911 EHR589911 ERN589911 FBJ589911 FLF589911 FVB589911 GEX589911 GOT589911 GYP589911 HIL589911 HSH589911 ICD589911 ILZ589911 IVV589911 JFR589911 JPN589911 JZJ589911 KJF589911 KTB589911 LCX589911 LMT589911 LWP589911 MGL589911 MQH589911 NAD589911 NJZ589911 NTV589911 ODR589911 ONN589911 OXJ589911 PHF589911 PRB589911 QAX589911 QKT589911 QUP589911 REL589911 ROH589911 RYD589911 SHZ589911 SRV589911 TBR589911 TLN589911 TVJ589911 UFF589911 UPB589911 UYX589911 VIT589911 VSP589911 WCL589911 WMH589911 WWD589911 V655447 JR655447 TN655447 ADJ655447 ANF655447 AXB655447 BGX655447 BQT655447 CAP655447 CKL655447 CUH655447 DED655447 DNZ655447 DXV655447 EHR655447 ERN655447 FBJ655447 FLF655447 FVB655447 GEX655447 GOT655447 GYP655447 HIL655447 HSH655447 ICD655447 ILZ655447 IVV655447 JFR655447 JPN655447 JZJ655447 KJF655447 KTB655447 LCX655447 LMT655447 LWP655447 MGL655447 MQH655447 NAD655447 NJZ655447 NTV655447 ODR655447 ONN655447 OXJ655447 PHF655447 PRB655447 QAX655447 QKT655447 QUP655447 REL655447 ROH655447 RYD655447 SHZ655447 SRV655447 TBR655447 TLN655447 TVJ655447 UFF655447 UPB655447 UYX655447 VIT655447 VSP655447 WCL655447 WMH655447 WWD655447 V720983 JR720983 TN720983 ADJ720983 ANF720983 AXB720983 BGX720983 BQT720983 CAP720983 CKL720983 CUH720983 DED720983 DNZ720983 DXV720983 EHR720983 ERN720983 FBJ720983 FLF720983 FVB720983 GEX720983 GOT720983 GYP720983 HIL720983 HSH720983 ICD720983 ILZ720983 IVV720983 JFR720983 JPN720983 JZJ720983 KJF720983 KTB720983 LCX720983 LMT720983 LWP720983 MGL720983 MQH720983 NAD720983 NJZ720983 NTV720983 ODR720983 ONN720983 OXJ720983 PHF720983 PRB720983 QAX720983 QKT720983 QUP720983 REL720983 ROH720983 RYD720983 SHZ720983 SRV720983 TBR720983 TLN720983 TVJ720983 UFF720983 UPB720983 UYX720983 VIT720983 VSP720983 WCL720983 WMH720983 WWD720983 V786519 JR786519 TN786519 ADJ786519 ANF786519 AXB786519 BGX786519 BQT786519 CAP786519 CKL786519 CUH786519 DED786519 DNZ786519 DXV786519 EHR786519 ERN786519 FBJ786519 FLF786519 FVB786519 GEX786519 GOT786519 GYP786519 HIL786519 HSH786519 ICD786519 ILZ786519 IVV786519 JFR786519 JPN786519 JZJ786519 KJF786519 KTB786519 LCX786519 LMT786519 LWP786519 MGL786519 MQH786519 NAD786519 NJZ786519 NTV786519 ODR786519 ONN786519 OXJ786519 PHF786519 PRB786519 QAX786519 QKT786519 QUP786519 REL786519 ROH786519 RYD786519 SHZ786519 SRV786519 TBR786519 TLN786519 TVJ786519 UFF786519 UPB786519 UYX786519 VIT786519 VSP786519 WCL786519 WMH786519 WWD786519 V852055 JR852055 TN852055 ADJ852055 ANF852055 AXB852055 BGX852055 BQT852055 CAP852055 CKL852055 CUH852055 DED852055 DNZ852055 DXV852055 EHR852055 ERN852055 FBJ852055 FLF852055 FVB852055 GEX852055 GOT852055 GYP852055 HIL852055 HSH852055 ICD852055 ILZ852055 IVV852055 JFR852055 JPN852055 JZJ852055 KJF852055 KTB852055 LCX852055 LMT852055 LWP852055 MGL852055 MQH852055 NAD852055 NJZ852055 NTV852055 ODR852055 ONN852055 OXJ852055 PHF852055 PRB852055 QAX852055 QKT852055 QUP852055 REL852055 ROH852055 RYD852055 SHZ852055 SRV852055 TBR852055 TLN852055 TVJ852055 UFF852055 UPB852055 UYX852055 VIT852055 VSP852055 WCL852055 WMH852055 WWD852055 V917591 JR917591 TN917591 ADJ917591 ANF917591 AXB917591 BGX917591 BQT917591 CAP917591 CKL917591 CUH917591 DED917591 DNZ917591 DXV917591 EHR917591 ERN917591 FBJ917591 FLF917591 FVB917591 GEX917591 GOT917591 GYP917591 HIL917591 HSH917591 ICD917591 ILZ917591 IVV917591 JFR917591 JPN917591 JZJ917591 KJF917591 KTB917591 LCX917591 LMT917591 LWP917591 MGL917591 MQH917591 NAD917591 NJZ917591 NTV917591 ODR917591 ONN917591 OXJ917591 PHF917591 PRB917591 QAX917591 QKT917591 QUP917591 REL917591 ROH917591 RYD917591 SHZ917591 SRV917591 TBR917591 TLN917591 TVJ917591 UFF917591 UPB917591 UYX917591 VIT917591 VSP917591 WCL917591 WMH917591 WWD917591 V983127 JR983127 TN983127 ADJ983127 ANF983127 AXB983127 BGX983127 BQT983127 CAP983127 CKL983127 CUH983127 DED983127 DNZ983127 DXV983127 EHR983127 ERN983127 FBJ983127 FLF983127 FVB983127 GEX983127 GOT983127 GYP983127 HIL983127 HSH983127 ICD983127 ILZ983127 IVV983127 JFR983127 JPN983127 JZJ983127 KJF983127 KTB983127 LCX983127 LMT983127 LWP983127 MGL983127 MQH983127 NAD983127 NJZ983127 NTV983127 ODR983127 ONN983127 OXJ983127 PHF983127 PRB983127 QAX983127 QKT983127 QUP983127 REL983127 ROH983127 RYD983127 SHZ983127 SRV983127 TBR983127 TLN983127 TVJ983127 UFF983127 UPB983127 UYX983127 VIT983127 VSP983127 WCL983127 WMH983127 WWD983127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JL49 TH49 ADD49 AMZ49 AWV49 BGR49 BQN49 CAJ49 CKF49 CUB49 DDX49 DNT49 DXP49 EHL49 ERH49 FBD49 FKZ49 FUV49 GER49 GON49 GYJ49 HIF49 HSB49 IBX49 ILT49 IVP49 JFL49 JPH49 JZD49 KIZ49 KSV49 LCR49 LMN49 LWJ49 MGF49 MQB49 MZX49 NJT49 NTP49 ODL49 ONH49 OXD49 PGZ49 PQV49 QAR49 QKN49 QUJ49 REF49 ROB49 RXX49 SHT49 SRP49 TBL49 TLH49 TVD49 UEZ49 UOV49 UYR49 VIN49 VSJ49 WCF49 WMB49 WVX49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TKY983143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V65580 JR65580 TN65580 ADJ65580 ANF65580 AXB65580 BGX65580 BQT65580 CAP65580 CKL65580 CUH65580 DED65580 DNZ65580 DXV65580 EHR65580 ERN65580 FBJ65580 FLF65580 FVB65580 GEX65580 GOT65580 GYP65580 HIL65580 HSH65580 ICD65580 ILZ65580 IVV65580 JFR65580 JPN65580 JZJ65580 KJF65580 KTB65580 LCX65580 LMT65580 LWP65580 MGL65580 MQH65580 NAD65580 NJZ65580 NTV65580 ODR65580 ONN65580 OXJ65580 PHF65580 PRB65580 QAX65580 QKT65580 QUP65580 REL65580 ROH65580 RYD65580 SHZ65580 SRV65580 TBR65580 TLN65580 TVJ65580 UFF65580 UPB65580 UYX65580 VIT65580 VSP65580 WCL65580 WMH65580 WWD65580 V131116 JR131116 TN131116 ADJ131116 ANF131116 AXB131116 BGX131116 BQT131116 CAP131116 CKL131116 CUH131116 DED131116 DNZ131116 DXV131116 EHR131116 ERN131116 FBJ131116 FLF131116 FVB131116 GEX131116 GOT131116 GYP131116 HIL131116 HSH131116 ICD131116 ILZ131116 IVV131116 JFR131116 JPN131116 JZJ131116 KJF131116 KTB131116 LCX131116 LMT131116 LWP131116 MGL131116 MQH131116 NAD131116 NJZ131116 NTV131116 ODR131116 ONN131116 OXJ131116 PHF131116 PRB131116 QAX131116 QKT131116 QUP131116 REL131116 ROH131116 RYD131116 SHZ131116 SRV131116 TBR131116 TLN131116 TVJ131116 UFF131116 UPB131116 UYX131116 VIT131116 VSP131116 WCL131116 WMH131116 WWD131116 V196652 JR196652 TN196652 ADJ196652 ANF196652 AXB196652 BGX196652 BQT196652 CAP196652 CKL196652 CUH196652 DED196652 DNZ196652 DXV196652 EHR196652 ERN196652 FBJ196652 FLF196652 FVB196652 GEX196652 GOT196652 GYP196652 HIL196652 HSH196652 ICD196652 ILZ196652 IVV196652 JFR196652 JPN196652 JZJ196652 KJF196652 KTB196652 LCX196652 LMT196652 LWP196652 MGL196652 MQH196652 NAD196652 NJZ196652 NTV196652 ODR196652 ONN196652 OXJ196652 PHF196652 PRB196652 QAX196652 QKT196652 QUP196652 REL196652 ROH196652 RYD196652 SHZ196652 SRV196652 TBR196652 TLN196652 TVJ196652 UFF196652 UPB196652 UYX196652 VIT196652 VSP196652 WCL196652 WMH196652 WWD196652 V262188 JR262188 TN262188 ADJ262188 ANF262188 AXB262188 BGX262188 BQT262188 CAP262188 CKL262188 CUH262188 DED262188 DNZ262188 DXV262188 EHR262188 ERN262188 FBJ262188 FLF262188 FVB262188 GEX262188 GOT262188 GYP262188 HIL262188 HSH262188 ICD262188 ILZ262188 IVV262188 JFR262188 JPN262188 JZJ262188 KJF262188 KTB262188 LCX262188 LMT262188 LWP262188 MGL262188 MQH262188 NAD262188 NJZ262188 NTV262188 ODR262188 ONN262188 OXJ262188 PHF262188 PRB262188 QAX262188 QKT262188 QUP262188 REL262188 ROH262188 RYD262188 SHZ262188 SRV262188 TBR262188 TLN262188 TVJ262188 UFF262188 UPB262188 UYX262188 VIT262188 VSP262188 WCL262188 WMH262188 WWD262188 V327724 JR327724 TN327724 ADJ327724 ANF327724 AXB327724 BGX327724 BQT327724 CAP327724 CKL327724 CUH327724 DED327724 DNZ327724 DXV327724 EHR327724 ERN327724 FBJ327724 FLF327724 FVB327724 GEX327724 GOT327724 GYP327724 HIL327724 HSH327724 ICD327724 ILZ327724 IVV327724 JFR327724 JPN327724 JZJ327724 KJF327724 KTB327724 LCX327724 LMT327724 LWP327724 MGL327724 MQH327724 NAD327724 NJZ327724 NTV327724 ODR327724 ONN327724 OXJ327724 PHF327724 PRB327724 QAX327724 QKT327724 QUP327724 REL327724 ROH327724 RYD327724 SHZ327724 SRV327724 TBR327724 TLN327724 TVJ327724 UFF327724 UPB327724 UYX327724 VIT327724 VSP327724 WCL327724 WMH327724 WWD327724 V393260 JR393260 TN393260 ADJ393260 ANF393260 AXB393260 BGX393260 BQT393260 CAP393260 CKL393260 CUH393260 DED393260 DNZ393260 DXV393260 EHR393260 ERN393260 FBJ393260 FLF393260 FVB393260 GEX393260 GOT393260 GYP393260 HIL393260 HSH393260 ICD393260 ILZ393260 IVV393260 JFR393260 JPN393260 JZJ393260 KJF393260 KTB393260 LCX393260 LMT393260 LWP393260 MGL393260 MQH393260 NAD393260 NJZ393260 NTV393260 ODR393260 ONN393260 OXJ393260 PHF393260 PRB393260 QAX393260 QKT393260 QUP393260 REL393260 ROH393260 RYD393260 SHZ393260 SRV393260 TBR393260 TLN393260 TVJ393260 UFF393260 UPB393260 UYX393260 VIT393260 VSP393260 WCL393260 WMH393260 WWD393260 V458796 JR458796 TN458796 ADJ458796 ANF458796 AXB458796 BGX458796 BQT458796 CAP458796 CKL458796 CUH458796 DED458796 DNZ458796 DXV458796 EHR458796 ERN458796 FBJ458796 FLF458796 FVB458796 GEX458796 GOT458796 GYP458796 HIL458796 HSH458796 ICD458796 ILZ458796 IVV458796 JFR458796 JPN458796 JZJ458796 KJF458796 KTB458796 LCX458796 LMT458796 LWP458796 MGL458796 MQH458796 NAD458796 NJZ458796 NTV458796 ODR458796 ONN458796 OXJ458796 PHF458796 PRB458796 QAX458796 QKT458796 QUP458796 REL458796 ROH458796 RYD458796 SHZ458796 SRV458796 TBR458796 TLN458796 TVJ458796 UFF458796 UPB458796 UYX458796 VIT458796 VSP458796 WCL458796 WMH458796 WWD458796 V524332 JR524332 TN524332 ADJ524332 ANF524332 AXB524332 BGX524332 BQT524332 CAP524332 CKL524332 CUH524332 DED524332 DNZ524332 DXV524332 EHR524332 ERN524332 FBJ524332 FLF524332 FVB524332 GEX524332 GOT524332 GYP524332 HIL524332 HSH524332 ICD524332 ILZ524332 IVV524332 JFR524332 JPN524332 JZJ524332 KJF524332 KTB524332 LCX524332 LMT524332 LWP524332 MGL524332 MQH524332 NAD524332 NJZ524332 NTV524332 ODR524332 ONN524332 OXJ524332 PHF524332 PRB524332 QAX524332 QKT524332 QUP524332 REL524332 ROH524332 RYD524332 SHZ524332 SRV524332 TBR524332 TLN524332 TVJ524332 UFF524332 UPB524332 UYX524332 VIT524332 VSP524332 WCL524332 WMH524332 WWD524332 V589868 JR589868 TN589868 ADJ589868 ANF589868 AXB589868 BGX589868 BQT589868 CAP589868 CKL589868 CUH589868 DED589868 DNZ589868 DXV589868 EHR589868 ERN589868 FBJ589868 FLF589868 FVB589868 GEX589868 GOT589868 GYP589868 HIL589868 HSH589868 ICD589868 ILZ589868 IVV589868 JFR589868 JPN589868 JZJ589868 KJF589868 KTB589868 LCX589868 LMT589868 LWP589868 MGL589868 MQH589868 NAD589868 NJZ589868 NTV589868 ODR589868 ONN589868 OXJ589868 PHF589868 PRB589868 QAX589868 QKT589868 QUP589868 REL589868 ROH589868 RYD589868 SHZ589868 SRV589868 TBR589868 TLN589868 TVJ589868 UFF589868 UPB589868 UYX589868 VIT589868 VSP589868 WCL589868 WMH589868 WWD589868 V655404 JR655404 TN655404 ADJ655404 ANF655404 AXB655404 BGX655404 BQT655404 CAP655404 CKL655404 CUH655404 DED655404 DNZ655404 DXV655404 EHR655404 ERN655404 FBJ655404 FLF655404 FVB655404 GEX655404 GOT655404 GYP655404 HIL655404 HSH655404 ICD655404 ILZ655404 IVV655404 JFR655404 JPN655404 JZJ655404 KJF655404 KTB655404 LCX655404 LMT655404 LWP655404 MGL655404 MQH655404 NAD655404 NJZ655404 NTV655404 ODR655404 ONN655404 OXJ655404 PHF655404 PRB655404 QAX655404 QKT655404 QUP655404 REL655404 ROH655404 RYD655404 SHZ655404 SRV655404 TBR655404 TLN655404 TVJ655404 UFF655404 UPB655404 UYX655404 VIT655404 VSP655404 WCL655404 WMH655404 WWD655404 V720940 JR720940 TN720940 ADJ720940 ANF720940 AXB720940 BGX720940 BQT720940 CAP720940 CKL720940 CUH720940 DED720940 DNZ720940 DXV720940 EHR720940 ERN720940 FBJ720940 FLF720940 FVB720940 GEX720940 GOT720940 GYP720940 HIL720940 HSH720940 ICD720940 ILZ720940 IVV720940 JFR720940 JPN720940 JZJ720940 KJF720940 KTB720940 LCX720940 LMT720940 LWP720940 MGL720940 MQH720940 NAD720940 NJZ720940 NTV720940 ODR720940 ONN720940 OXJ720940 PHF720940 PRB720940 QAX720940 QKT720940 QUP720940 REL720940 ROH720940 RYD720940 SHZ720940 SRV720940 TBR720940 TLN720940 TVJ720940 UFF720940 UPB720940 UYX720940 VIT720940 VSP720940 WCL720940 WMH720940 WWD720940 V786476 JR786476 TN786476 ADJ786476 ANF786476 AXB786476 BGX786476 BQT786476 CAP786476 CKL786476 CUH786476 DED786476 DNZ786476 DXV786476 EHR786476 ERN786476 FBJ786476 FLF786476 FVB786476 GEX786476 GOT786476 GYP786476 HIL786476 HSH786476 ICD786476 ILZ786476 IVV786476 JFR786476 JPN786476 JZJ786476 KJF786476 KTB786476 LCX786476 LMT786476 LWP786476 MGL786476 MQH786476 NAD786476 NJZ786476 NTV786476 ODR786476 ONN786476 OXJ786476 PHF786476 PRB786476 QAX786476 QKT786476 QUP786476 REL786476 ROH786476 RYD786476 SHZ786476 SRV786476 TBR786476 TLN786476 TVJ786476 UFF786476 UPB786476 UYX786476 VIT786476 VSP786476 WCL786476 WMH786476 WWD786476 V852012 JR852012 TN852012 ADJ852012 ANF852012 AXB852012 BGX852012 BQT852012 CAP852012 CKL852012 CUH852012 DED852012 DNZ852012 DXV852012 EHR852012 ERN852012 FBJ852012 FLF852012 FVB852012 GEX852012 GOT852012 GYP852012 HIL852012 HSH852012 ICD852012 ILZ852012 IVV852012 JFR852012 JPN852012 JZJ852012 KJF852012 KTB852012 LCX852012 LMT852012 LWP852012 MGL852012 MQH852012 NAD852012 NJZ852012 NTV852012 ODR852012 ONN852012 OXJ852012 PHF852012 PRB852012 QAX852012 QKT852012 QUP852012 REL852012 ROH852012 RYD852012 SHZ852012 SRV852012 TBR852012 TLN852012 TVJ852012 UFF852012 UPB852012 UYX852012 VIT852012 VSP852012 WCL852012 WMH852012 WWD852012 V917548 JR917548 TN917548 ADJ917548 ANF917548 AXB917548 BGX917548 BQT917548 CAP917548 CKL917548 CUH917548 DED917548 DNZ917548 DXV917548 EHR917548 ERN917548 FBJ917548 FLF917548 FVB917548 GEX917548 GOT917548 GYP917548 HIL917548 HSH917548 ICD917548 ILZ917548 IVV917548 JFR917548 JPN917548 JZJ917548 KJF917548 KTB917548 LCX917548 LMT917548 LWP917548 MGL917548 MQH917548 NAD917548 NJZ917548 NTV917548 ODR917548 ONN917548 OXJ917548 PHF917548 PRB917548 QAX917548 QKT917548 QUP917548 REL917548 ROH917548 RYD917548 SHZ917548 SRV917548 TBR917548 TLN917548 TVJ917548 UFF917548 UPB917548 UYX917548 VIT917548 VSP917548 WCL917548 WMH917548 WWD917548 V983084 JR983084 TN983084 ADJ983084 ANF983084 AXB983084 BGX983084 BQT983084 CAP983084 CKL983084 CUH983084 DED983084 DNZ983084 DXV983084 EHR983084 ERN983084 FBJ983084 FLF983084 FVB983084 GEX983084 GOT983084 GYP983084 HIL983084 HSH983084 ICD983084 ILZ983084 IVV983084 JFR983084 JPN983084 JZJ983084 KJF983084 KTB983084 LCX983084 LMT983084 LWP983084 MGL983084 MQH983084 NAD983084 NJZ983084 NTV983084 ODR983084 ONN983084 OXJ983084 PHF983084 PRB983084 QAX983084 QKT983084 QUP983084 REL983084 ROH983084 RYD983084 SHZ983084 SRV983084 TBR983084 TLN983084 TVJ983084 UFF983084 UPB983084 UYX983084 VIT983084 VSP983084 WCL983084 WMH983084 WWD983084 UEQ983143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UOM983143 JH51 TD51 ACZ51 AMV51 AWR51 BGN51 BQJ51 CAF51 CKB51 CTX51 DDT51 DNP51 DXL51 EHH51 ERD51 FAZ51 FKV51 FUR51 GEN51 GOJ51 GYF51 HIB51 HRX51 IBT51 ILP51 IVL51 JFH51 JPD51 JYZ51 KIV51 KSR51 LCN51 LMJ51 LWF51 MGB51 MPX51 MZT51 NJP51 NTL51 ODH51 OND51 OWZ51 PGV51 PQR51 QAN51 QKJ51 QUF51 REB51 RNX51 RXT51 SHP51 SRL51 TBH51 TLD51 TUZ51 UEV51 UOR51 UYN51 VIJ51 VSF51 WCB51 WLX51 WVT51 L65582 JH65582 TD65582 ACZ65582 AMV65582 AWR65582 BGN65582 BQJ65582 CAF65582 CKB65582 CTX65582 DDT65582 DNP65582 DXL65582 EHH65582 ERD65582 FAZ65582 FKV65582 FUR65582 GEN65582 GOJ65582 GYF65582 HIB65582 HRX65582 IBT65582 ILP65582 IVL65582 JFH65582 JPD65582 JYZ65582 KIV65582 KSR65582 LCN65582 LMJ65582 LWF65582 MGB65582 MPX65582 MZT65582 NJP65582 NTL65582 ODH65582 OND65582 OWZ65582 PGV65582 PQR65582 QAN65582 QKJ65582 QUF65582 REB65582 RNX65582 RXT65582 SHP65582 SRL65582 TBH65582 TLD65582 TUZ65582 UEV65582 UOR65582 UYN65582 VIJ65582 VSF65582 WCB65582 WLX65582 WVT65582 L131118 JH131118 TD131118 ACZ131118 AMV131118 AWR131118 BGN131118 BQJ131118 CAF131118 CKB131118 CTX131118 DDT131118 DNP131118 DXL131118 EHH131118 ERD131118 FAZ131118 FKV131118 FUR131118 GEN131118 GOJ131118 GYF131118 HIB131118 HRX131118 IBT131118 ILP131118 IVL131118 JFH131118 JPD131118 JYZ131118 KIV131118 KSR131118 LCN131118 LMJ131118 LWF131118 MGB131118 MPX131118 MZT131118 NJP131118 NTL131118 ODH131118 OND131118 OWZ131118 PGV131118 PQR131118 QAN131118 QKJ131118 QUF131118 REB131118 RNX131118 RXT131118 SHP131118 SRL131118 TBH131118 TLD131118 TUZ131118 UEV131118 UOR131118 UYN131118 VIJ131118 VSF131118 WCB131118 WLX131118 WVT131118 L196654 JH196654 TD196654 ACZ196654 AMV196654 AWR196654 BGN196654 BQJ196654 CAF196654 CKB196654 CTX196654 DDT196654 DNP196654 DXL196654 EHH196654 ERD196654 FAZ196654 FKV196654 FUR196654 GEN196654 GOJ196654 GYF196654 HIB196654 HRX196654 IBT196654 ILP196654 IVL196654 JFH196654 JPD196654 JYZ196654 KIV196654 KSR196654 LCN196654 LMJ196654 LWF196654 MGB196654 MPX196654 MZT196654 NJP196654 NTL196654 ODH196654 OND196654 OWZ196654 PGV196654 PQR196654 QAN196654 QKJ196654 QUF196654 REB196654 RNX196654 RXT196654 SHP196654 SRL196654 TBH196654 TLD196654 TUZ196654 UEV196654 UOR196654 UYN196654 VIJ196654 VSF196654 WCB196654 WLX196654 WVT196654 L262190 JH262190 TD262190 ACZ262190 AMV262190 AWR262190 BGN262190 BQJ262190 CAF262190 CKB262190 CTX262190 DDT262190 DNP262190 DXL262190 EHH262190 ERD262190 FAZ262190 FKV262190 FUR262190 GEN262190 GOJ262190 GYF262190 HIB262190 HRX262190 IBT262190 ILP262190 IVL262190 JFH262190 JPD262190 JYZ262190 KIV262190 KSR262190 LCN262190 LMJ262190 LWF262190 MGB262190 MPX262190 MZT262190 NJP262190 NTL262190 ODH262190 OND262190 OWZ262190 PGV262190 PQR262190 QAN262190 QKJ262190 QUF262190 REB262190 RNX262190 RXT262190 SHP262190 SRL262190 TBH262190 TLD262190 TUZ262190 UEV262190 UOR262190 UYN262190 VIJ262190 VSF262190 WCB262190 WLX262190 WVT262190 L327726 JH327726 TD327726 ACZ327726 AMV327726 AWR327726 BGN327726 BQJ327726 CAF327726 CKB327726 CTX327726 DDT327726 DNP327726 DXL327726 EHH327726 ERD327726 FAZ327726 FKV327726 FUR327726 GEN327726 GOJ327726 GYF327726 HIB327726 HRX327726 IBT327726 ILP327726 IVL327726 JFH327726 JPD327726 JYZ327726 KIV327726 KSR327726 LCN327726 LMJ327726 LWF327726 MGB327726 MPX327726 MZT327726 NJP327726 NTL327726 ODH327726 OND327726 OWZ327726 PGV327726 PQR327726 QAN327726 QKJ327726 QUF327726 REB327726 RNX327726 RXT327726 SHP327726 SRL327726 TBH327726 TLD327726 TUZ327726 UEV327726 UOR327726 UYN327726 VIJ327726 VSF327726 WCB327726 WLX327726 WVT327726 L393262 JH393262 TD393262 ACZ393262 AMV393262 AWR393262 BGN393262 BQJ393262 CAF393262 CKB393262 CTX393262 DDT393262 DNP393262 DXL393262 EHH393262 ERD393262 FAZ393262 FKV393262 FUR393262 GEN393262 GOJ393262 GYF393262 HIB393262 HRX393262 IBT393262 ILP393262 IVL393262 JFH393262 JPD393262 JYZ393262 KIV393262 KSR393262 LCN393262 LMJ393262 LWF393262 MGB393262 MPX393262 MZT393262 NJP393262 NTL393262 ODH393262 OND393262 OWZ393262 PGV393262 PQR393262 QAN393262 QKJ393262 QUF393262 REB393262 RNX393262 RXT393262 SHP393262 SRL393262 TBH393262 TLD393262 TUZ393262 UEV393262 UOR393262 UYN393262 VIJ393262 VSF393262 WCB393262 WLX393262 WVT393262 L458798 JH458798 TD458798 ACZ458798 AMV458798 AWR458798 BGN458798 BQJ458798 CAF458798 CKB458798 CTX458798 DDT458798 DNP458798 DXL458798 EHH458798 ERD458798 FAZ458798 FKV458798 FUR458798 GEN458798 GOJ458798 GYF458798 HIB458798 HRX458798 IBT458798 ILP458798 IVL458798 JFH458798 JPD458798 JYZ458798 KIV458798 KSR458798 LCN458798 LMJ458798 LWF458798 MGB458798 MPX458798 MZT458798 NJP458798 NTL458798 ODH458798 OND458798 OWZ458798 PGV458798 PQR458798 QAN458798 QKJ458798 QUF458798 REB458798 RNX458798 RXT458798 SHP458798 SRL458798 TBH458798 TLD458798 TUZ458798 UEV458798 UOR458798 UYN458798 VIJ458798 VSF458798 WCB458798 WLX458798 WVT458798 L524334 JH524334 TD524334 ACZ524334 AMV524334 AWR524334 BGN524334 BQJ524334 CAF524334 CKB524334 CTX524334 DDT524334 DNP524334 DXL524334 EHH524334 ERD524334 FAZ524334 FKV524334 FUR524334 GEN524334 GOJ524334 GYF524334 HIB524334 HRX524334 IBT524334 ILP524334 IVL524334 JFH524334 JPD524334 JYZ524334 KIV524334 KSR524334 LCN524334 LMJ524334 LWF524334 MGB524334 MPX524334 MZT524334 NJP524334 NTL524334 ODH524334 OND524334 OWZ524334 PGV524334 PQR524334 QAN524334 QKJ524334 QUF524334 REB524334 RNX524334 RXT524334 SHP524334 SRL524334 TBH524334 TLD524334 TUZ524334 UEV524334 UOR524334 UYN524334 VIJ524334 VSF524334 WCB524334 WLX524334 WVT524334 L589870 JH589870 TD589870 ACZ589870 AMV589870 AWR589870 BGN589870 BQJ589870 CAF589870 CKB589870 CTX589870 DDT589870 DNP589870 DXL589870 EHH589870 ERD589870 FAZ589870 FKV589870 FUR589870 GEN589870 GOJ589870 GYF589870 HIB589870 HRX589870 IBT589870 ILP589870 IVL589870 JFH589870 JPD589870 JYZ589870 KIV589870 KSR589870 LCN589870 LMJ589870 LWF589870 MGB589870 MPX589870 MZT589870 NJP589870 NTL589870 ODH589870 OND589870 OWZ589870 PGV589870 PQR589870 QAN589870 QKJ589870 QUF589870 REB589870 RNX589870 RXT589870 SHP589870 SRL589870 TBH589870 TLD589870 TUZ589870 UEV589870 UOR589870 UYN589870 VIJ589870 VSF589870 WCB589870 WLX589870 WVT589870 L655406 JH655406 TD655406 ACZ655406 AMV655406 AWR655406 BGN655406 BQJ655406 CAF655406 CKB655406 CTX655406 DDT655406 DNP655406 DXL655406 EHH655406 ERD655406 FAZ655406 FKV655406 FUR655406 GEN655406 GOJ655406 GYF655406 HIB655406 HRX655406 IBT655406 ILP655406 IVL655406 JFH655406 JPD655406 JYZ655406 KIV655406 KSR655406 LCN655406 LMJ655406 LWF655406 MGB655406 MPX655406 MZT655406 NJP655406 NTL655406 ODH655406 OND655406 OWZ655406 PGV655406 PQR655406 QAN655406 QKJ655406 QUF655406 REB655406 RNX655406 RXT655406 SHP655406 SRL655406 TBH655406 TLD655406 TUZ655406 UEV655406 UOR655406 UYN655406 VIJ655406 VSF655406 WCB655406 WLX655406 WVT655406 L720942 JH720942 TD720942 ACZ720942 AMV720942 AWR720942 BGN720942 BQJ720942 CAF720942 CKB720942 CTX720942 DDT720942 DNP720942 DXL720942 EHH720942 ERD720942 FAZ720942 FKV720942 FUR720942 GEN720942 GOJ720942 GYF720942 HIB720942 HRX720942 IBT720942 ILP720942 IVL720942 JFH720942 JPD720942 JYZ720942 KIV720942 KSR720942 LCN720942 LMJ720942 LWF720942 MGB720942 MPX720942 MZT720942 NJP720942 NTL720942 ODH720942 OND720942 OWZ720942 PGV720942 PQR720942 QAN720942 QKJ720942 QUF720942 REB720942 RNX720942 RXT720942 SHP720942 SRL720942 TBH720942 TLD720942 TUZ720942 UEV720942 UOR720942 UYN720942 VIJ720942 VSF720942 WCB720942 WLX720942 WVT720942 L786478 JH786478 TD786478 ACZ786478 AMV786478 AWR786478 BGN786478 BQJ786478 CAF786478 CKB786478 CTX786478 DDT786478 DNP786478 DXL786478 EHH786478 ERD786478 FAZ786478 FKV786478 FUR786478 GEN786478 GOJ786478 GYF786478 HIB786478 HRX786478 IBT786478 ILP786478 IVL786478 JFH786478 JPD786478 JYZ786478 KIV786478 KSR786478 LCN786478 LMJ786478 LWF786478 MGB786478 MPX786478 MZT786478 NJP786478 NTL786478 ODH786478 OND786478 OWZ786478 PGV786478 PQR786478 QAN786478 QKJ786478 QUF786478 REB786478 RNX786478 RXT786478 SHP786478 SRL786478 TBH786478 TLD786478 TUZ786478 UEV786478 UOR786478 UYN786478 VIJ786478 VSF786478 WCB786478 WLX786478 WVT786478 L852014 JH852014 TD852014 ACZ852014 AMV852014 AWR852014 BGN852014 BQJ852014 CAF852014 CKB852014 CTX852014 DDT852014 DNP852014 DXL852014 EHH852014 ERD852014 FAZ852014 FKV852014 FUR852014 GEN852014 GOJ852014 GYF852014 HIB852014 HRX852014 IBT852014 ILP852014 IVL852014 JFH852014 JPD852014 JYZ852014 KIV852014 KSR852014 LCN852014 LMJ852014 LWF852014 MGB852014 MPX852014 MZT852014 NJP852014 NTL852014 ODH852014 OND852014 OWZ852014 PGV852014 PQR852014 QAN852014 QKJ852014 QUF852014 REB852014 RNX852014 RXT852014 SHP852014 SRL852014 TBH852014 TLD852014 TUZ852014 UEV852014 UOR852014 UYN852014 VIJ852014 VSF852014 WCB852014 WLX852014 WVT852014 L917550 JH917550 TD917550 ACZ917550 AMV917550 AWR917550 BGN917550 BQJ917550 CAF917550 CKB917550 CTX917550 DDT917550 DNP917550 DXL917550 EHH917550 ERD917550 FAZ917550 FKV917550 FUR917550 GEN917550 GOJ917550 GYF917550 HIB917550 HRX917550 IBT917550 ILP917550 IVL917550 JFH917550 JPD917550 JYZ917550 KIV917550 KSR917550 LCN917550 LMJ917550 LWF917550 MGB917550 MPX917550 MZT917550 NJP917550 NTL917550 ODH917550 OND917550 OWZ917550 PGV917550 PQR917550 QAN917550 QKJ917550 QUF917550 REB917550 RNX917550 RXT917550 SHP917550 SRL917550 TBH917550 TLD917550 TUZ917550 UEV917550 UOR917550 UYN917550 VIJ917550 VSF917550 WCB917550 WLX917550 WVT917550 L983086 JH983086 TD983086 ACZ983086 AMV983086 AWR983086 BGN983086 BQJ983086 CAF983086 CKB983086 CTX983086 DDT983086 DNP983086 DXL983086 EHH983086 ERD983086 FAZ983086 FKV983086 FUR983086 GEN983086 GOJ983086 GYF983086 HIB983086 HRX983086 IBT983086 ILP983086 IVL983086 JFH983086 JPD983086 JYZ983086 KIV983086 KSR983086 LCN983086 LMJ983086 LWF983086 MGB983086 MPX983086 MZT983086 NJP983086 NTL983086 ODH983086 OND983086 OWZ983086 PGV983086 PQR983086 QAN983086 QKJ983086 QUF983086 REB983086 RNX983086 RXT983086 SHP983086 SRL983086 TBH983086 TLD983086 TUZ983086 UEV983086 UOR983086 UYN983086 VIJ983086 VSF983086 WCB983086 WLX983086 WVT983086 UYI983143 JT51 TP51 ADL51 ANH51 AXD51 BGZ51 BQV51 CAR51 CKN51 CUJ51 DEF51 DOB51 DXX51 EHT51 ERP51 FBL51 FLH51 FVD51 GEZ51 GOV51 GYR51 HIN51 HSJ51 ICF51 IMB51 IVX51 JFT51 JPP51 JZL51 KJH51 KTD51 LCZ51 LMV51 LWR51 MGN51 MQJ51 NAF51 NKB51 NTX51 ODT51 ONP51 OXL51 PHH51 PRD51 QAZ51 QKV51 QUR51 REN51 ROJ51 RYF51 SIB51 SRX51 TBT51 TLP51 TVL51 UFH51 UPD51 UYZ51 VIV51 VSR51 WCN51 WMJ51 WWF51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VIE983143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VSA983143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W65583 JS65583 TO65583 ADK65583 ANG65583 AXC65583 BGY65583 BQU65583 CAQ65583 CKM65583 CUI65583 DEE65583 DOA65583 DXW65583 EHS65583 ERO65583 FBK65583 FLG65583 FVC65583 GEY65583 GOU65583 GYQ65583 HIM65583 HSI65583 ICE65583 IMA65583 IVW65583 JFS65583 JPO65583 JZK65583 KJG65583 KTC65583 LCY65583 LMU65583 LWQ65583 MGM65583 MQI65583 NAE65583 NKA65583 NTW65583 ODS65583 ONO65583 OXK65583 PHG65583 PRC65583 QAY65583 QKU65583 QUQ65583 REM65583 ROI65583 RYE65583 SIA65583 SRW65583 TBS65583 TLO65583 TVK65583 UFG65583 UPC65583 UYY65583 VIU65583 VSQ65583 WCM65583 WMI65583 WWE65583 W131119 JS131119 TO131119 ADK131119 ANG131119 AXC131119 BGY131119 BQU131119 CAQ131119 CKM131119 CUI131119 DEE131119 DOA131119 DXW131119 EHS131119 ERO131119 FBK131119 FLG131119 FVC131119 GEY131119 GOU131119 GYQ131119 HIM131119 HSI131119 ICE131119 IMA131119 IVW131119 JFS131119 JPO131119 JZK131119 KJG131119 KTC131119 LCY131119 LMU131119 LWQ131119 MGM131119 MQI131119 NAE131119 NKA131119 NTW131119 ODS131119 ONO131119 OXK131119 PHG131119 PRC131119 QAY131119 QKU131119 QUQ131119 REM131119 ROI131119 RYE131119 SIA131119 SRW131119 TBS131119 TLO131119 TVK131119 UFG131119 UPC131119 UYY131119 VIU131119 VSQ131119 WCM131119 WMI131119 WWE131119 W196655 JS196655 TO196655 ADK196655 ANG196655 AXC196655 BGY196655 BQU196655 CAQ196655 CKM196655 CUI196655 DEE196655 DOA196655 DXW196655 EHS196655 ERO196655 FBK196655 FLG196655 FVC196655 GEY196655 GOU196655 GYQ196655 HIM196655 HSI196655 ICE196655 IMA196655 IVW196655 JFS196655 JPO196655 JZK196655 KJG196655 KTC196655 LCY196655 LMU196655 LWQ196655 MGM196655 MQI196655 NAE196655 NKA196655 NTW196655 ODS196655 ONO196655 OXK196655 PHG196655 PRC196655 QAY196655 QKU196655 QUQ196655 REM196655 ROI196655 RYE196655 SIA196655 SRW196655 TBS196655 TLO196655 TVK196655 UFG196655 UPC196655 UYY196655 VIU196655 VSQ196655 WCM196655 WMI196655 WWE196655 W262191 JS262191 TO262191 ADK262191 ANG262191 AXC262191 BGY262191 BQU262191 CAQ262191 CKM262191 CUI262191 DEE262191 DOA262191 DXW262191 EHS262191 ERO262191 FBK262191 FLG262191 FVC262191 GEY262191 GOU262191 GYQ262191 HIM262191 HSI262191 ICE262191 IMA262191 IVW262191 JFS262191 JPO262191 JZK262191 KJG262191 KTC262191 LCY262191 LMU262191 LWQ262191 MGM262191 MQI262191 NAE262191 NKA262191 NTW262191 ODS262191 ONO262191 OXK262191 PHG262191 PRC262191 QAY262191 QKU262191 QUQ262191 REM262191 ROI262191 RYE262191 SIA262191 SRW262191 TBS262191 TLO262191 TVK262191 UFG262191 UPC262191 UYY262191 VIU262191 VSQ262191 WCM262191 WMI262191 WWE262191 W327727 JS327727 TO327727 ADK327727 ANG327727 AXC327727 BGY327727 BQU327727 CAQ327727 CKM327727 CUI327727 DEE327727 DOA327727 DXW327727 EHS327727 ERO327727 FBK327727 FLG327727 FVC327727 GEY327727 GOU327727 GYQ327727 HIM327727 HSI327727 ICE327727 IMA327727 IVW327727 JFS327727 JPO327727 JZK327727 KJG327727 KTC327727 LCY327727 LMU327727 LWQ327727 MGM327727 MQI327727 NAE327727 NKA327727 NTW327727 ODS327727 ONO327727 OXK327727 PHG327727 PRC327727 QAY327727 QKU327727 QUQ327727 REM327727 ROI327727 RYE327727 SIA327727 SRW327727 TBS327727 TLO327727 TVK327727 UFG327727 UPC327727 UYY327727 VIU327727 VSQ327727 WCM327727 WMI327727 WWE327727 W393263 JS393263 TO393263 ADK393263 ANG393263 AXC393263 BGY393263 BQU393263 CAQ393263 CKM393263 CUI393263 DEE393263 DOA393263 DXW393263 EHS393263 ERO393263 FBK393263 FLG393263 FVC393263 GEY393263 GOU393263 GYQ393263 HIM393263 HSI393263 ICE393263 IMA393263 IVW393263 JFS393263 JPO393263 JZK393263 KJG393263 KTC393263 LCY393263 LMU393263 LWQ393263 MGM393263 MQI393263 NAE393263 NKA393263 NTW393263 ODS393263 ONO393263 OXK393263 PHG393263 PRC393263 QAY393263 QKU393263 QUQ393263 REM393263 ROI393263 RYE393263 SIA393263 SRW393263 TBS393263 TLO393263 TVK393263 UFG393263 UPC393263 UYY393263 VIU393263 VSQ393263 WCM393263 WMI393263 WWE393263 W458799 JS458799 TO458799 ADK458799 ANG458799 AXC458799 BGY458799 BQU458799 CAQ458799 CKM458799 CUI458799 DEE458799 DOA458799 DXW458799 EHS458799 ERO458799 FBK458799 FLG458799 FVC458799 GEY458799 GOU458799 GYQ458799 HIM458799 HSI458799 ICE458799 IMA458799 IVW458799 JFS458799 JPO458799 JZK458799 KJG458799 KTC458799 LCY458799 LMU458799 LWQ458799 MGM458799 MQI458799 NAE458799 NKA458799 NTW458799 ODS458799 ONO458799 OXK458799 PHG458799 PRC458799 QAY458799 QKU458799 QUQ458799 REM458799 ROI458799 RYE458799 SIA458799 SRW458799 TBS458799 TLO458799 TVK458799 UFG458799 UPC458799 UYY458799 VIU458799 VSQ458799 WCM458799 WMI458799 WWE458799 W524335 JS524335 TO524335 ADK524335 ANG524335 AXC524335 BGY524335 BQU524335 CAQ524335 CKM524335 CUI524335 DEE524335 DOA524335 DXW524335 EHS524335 ERO524335 FBK524335 FLG524335 FVC524335 GEY524335 GOU524335 GYQ524335 HIM524335 HSI524335 ICE524335 IMA524335 IVW524335 JFS524335 JPO524335 JZK524335 KJG524335 KTC524335 LCY524335 LMU524335 LWQ524335 MGM524335 MQI524335 NAE524335 NKA524335 NTW524335 ODS524335 ONO524335 OXK524335 PHG524335 PRC524335 QAY524335 QKU524335 QUQ524335 REM524335 ROI524335 RYE524335 SIA524335 SRW524335 TBS524335 TLO524335 TVK524335 UFG524335 UPC524335 UYY524335 VIU524335 VSQ524335 WCM524335 WMI524335 WWE524335 W589871 JS589871 TO589871 ADK589871 ANG589871 AXC589871 BGY589871 BQU589871 CAQ589871 CKM589871 CUI589871 DEE589871 DOA589871 DXW589871 EHS589871 ERO589871 FBK589871 FLG589871 FVC589871 GEY589871 GOU589871 GYQ589871 HIM589871 HSI589871 ICE589871 IMA589871 IVW589871 JFS589871 JPO589871 JZK589871 KJG589871 KTC589871 LCY589871 LMU589871 LWQ589871 MGM589871 MQI589871 NAE589871 NKA589871 NTW589871 ODS589871 ONO589871 OXK589871 PHG589871 PRC589871 QAY589871 QKU589871 QUQ589871 REM589871 ROI589871 RYE589871 SIA589871 SRW589871 TBS589871 TLO589871 TVK589871 UFG589871 UPC589871 UYY589871 VIU589871 VSQ589871 WCM589871 WMI589871 WWE589871 W655407 JS655407 TO655407 ADK655407 ANG655407 AXC655407 BGY655407 BQU655407 CAQ655407 CKM655407 CUI655407 DEE655407 DOA655407 DXW655407 EHS655407 ERO655407 FBK655407 FLG655407 FVC655407 GEY655407 GOU655407 GYQ655407 HIM655407 HSI655407 ICE655407 IMA655407 IVW655407 JFS655407 JPO655407 JZK655407 KJG655407 KTC655407 LCY655407 LMU655407 LWQ655407 MGM655407 MQI655407 NAE655407 NKA655407 NTW655407 ODS655407 ONO655407 OXK655407 PHG655407 PRC655407 QAY655407 QKU655407 QUQ655407 REM655407 ROI655407 RYE655407 SIA655407 SRW655407 TBS655407 TLO655407 TVK655407 UFG655407 UPC655407 UYY655407 VIU655407 VSQ655407 WCM655407 WMI655407 WWE655407 W720943 JS720943 TO720943 ADK720943 ANG720943 AXC720943 BGY720943 BQU720943 CAQ720943 CKM720943 CUI720943 DEE720943 DOA720943 DXW720943 EHS720943 ERO720943 FBK720943 FLG720943 FVC720943 GEY720943 GOU720943 GYQ720943 HIM720943 HSI720943 ICE720943 IMA720943 IVW720943 JFS720943 JPO720943 JZK720943 KJG720943 KTC720943 LCY720943 LMU720943 LWQ720943 MGM720943 MQI720943 NAE720943 NKA720943 NTW720943 ODS720943 ONO720943 OXK720943 PHG720943 PRC720943 QAY720943 QKU720943 QUQ720943 REM720943 ROI720943 RYE720943 SIA720943 SRW720943 TBS720943 TLO720943 TVK720943 UFG720943 UPC720943 UYY720943 VIU720943 VSQ720943 WCM720943 WMI720943 WWE720943 W786479 JS786479 TO786479 ADK786479 ANG786479 AXC786479 BGY786479 BQU786479 CAQ786479 CKM786479 CUI786479 DEE786479 DOA786479 DXW786479 EHS786479 ERO786479 FBK786479 FLG786479 FVC786479 GEY786479 GOU786479 GYQ786479 HIM786479 HSI786479 ICE786479 IMA786479 IVW786479 JFS786479 JPO786479 JZK786479 KJG786479 KTC786479 LCY786479 LMU786479 LWQ786479 MGM786479 MQI786479 NAE786479 NKA786479 NTW786479 ODS786479 ONO786479 OXK786479 PHG786479 PRC786479 QAY786479 QKU786479 QUQ786479 REM786479 ROI786479 RYE786479 SIA786479 SRW786479 TBS786479 TLO786479 TVK786479 UFG786479 UPC786479 UYY786479 VIU786479 VSQ786479 WCM786479 WMI786479 WWE786479 W852015 JS852015 TO852015 ADK852015 ANG852015 AXC852015 BGY852015 BQU852015 CAQ852015 CKM852015 CUI852015 DEE852015 DOA852015 DXW852015 EHS852015 ERO852015 FBK852015 FLG852015 FVC852015 GEY852015 GOU852015 GYQ852015 HIM852015 HSI852015 ICE852015 IMA852015 IVW852015 JFS852015 JPO852015 JZK852015 KJG852015 KTC852015 LCY852015 LMU852015 LWQ852015 MGM852015 MQI852015 NAE852015 NKA852015 NTW852015 ODS852015 ONO852015 OXK852015 PHG852015 PRC852015 QAY852015 QKU852015 QUQ852015 REM852015 ROI852015 RYE852015 SIA852015 SRW852015 TBS852015 TLO852015 TVK852015 UFG852015 UPC852015 UYY852015 VIU852015 VSQ852015 WCM852015 WMI852015 WWE852015 W917551 JS917551 TO917551 ADK917551 ANG917551 AXC917551 BGY917551 BQU917551 CAQ917551 CKM917551 CUI917551 DEE917551 DOA917551 DXW917551 EHS917551 ERO917551 FBK917551 FLG917551 FVC917551 GEY917551 GOU917551 GYQ917551 HIM917551 HSI917551 ICE917551 IMA917551 IVW917551 JFS917551 JPO917551 JZK917551 KJG917551 KTC917551 LCY917551 LMU917551 LWQ917551 MGM917551 MQI917551 NAE917551 NKA917551 NTW917551 ODS917551 ONO917551 OXK917551 PHG917551 PRC917551 QAY917551 QKU917551 QUQ917551 REM917551 ROI917551 RYE917551 SIA917551 SRW917551 TBS917551 TLO917551 TVK917551 UFG917551 UPC917551 UYY917551 VIU917551 VSQ917551 WCM917551 WMI917551 WWE917551 W983087 JS983087 TO983087 ADK983087 ANG983087 AXC983087 BGY983087 BQU983087 CAQ983087 CKM983087 CUI983087 DEE983087 DOA983087 DXW983087 EHS983087 ERO983087 FBK983087 FLG983087 FVC983087 GEY983087 GOU983087 GYQ983087 HIM983087 HSI983087 ICE983087 IMA983087 IVW983087 JFS983087 JPO983087 JZK983087 KJG983087 KTC983087 LCY983087 LMU983087 LWQ983087 MGM983087 MQI983087 NAE983087 NKA983087 NTW983087 ODS983087 ONO983087 OXK983087 PHG983087 PRC983087 QAY983087 QKU983087 QUQ983087 REM983087 ROI983087 RYE983087 SIA983087 SRW983087 TBS983087 TLO983087 TVK983087 UFG983087 UPC983087 UYY983087 VIU983087 VSQ983087 WCM983087 WMI983087 WWE983087 WBW983143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N65584 JJ65584 TF65584 ADB65584 AMX65584 AWT65584 BGP65584 BQL65584 CAH65584 CKD65584 CTZ65584 DDV65584 DNR65584 DXN65584 EHJ65584 ERF65584 FBB65584 FKX65584 FUT65584 GEP65584 GOL65584 GYH65584 HID65584 HRZ65584 IBV65584 ILR65584 IVN65584 JFJ65584 JPF65584 JZB65584 KIX65584 KST65584 LCP65584 LML65584 LWH65584 MGD65584 MPZ65584 MZV65584 NJR65584 NTN65584 ODJ65584 ONF65584 OXB65584 PGX65584 PQT65584 QAP65584 QKL65584 QUH65584 RED65584 RNZ65584 RXV65584 SHR65584 SRN65584 TBJ65584 TLF65584 TVB65584 UEX65584 UOT65584 UYP65584 VIL65584 VSH65584 WCD65584 WLZ65584 WVV65584 N131120 JJ131120 TF131120 ADB131120 AMX131120 AWT131120 BGP131120 BQL131120 CAH131120 CKD131120 CTZ131120 DDV131120 DNR131120 DXN131120 EHJ131120 ERF131120 FBB131120 FKX131120 FUT131120 GEP131120 GOL131120 GYH131120 HID131120 HRZ131120 IBV131120 ILR131120 IVN131120 JFJ131120 JPF131120 JZB131120 KIX131120 KST131120 LCP131120 LML131120 LWH131120 MGD131120 MPZ131120 MZV131120 NJR131120 NTN131120 ODJ131120 ONF131120 OXB131120 PGX131120 PQT131120 QAP131120 QKL131120 QUH131120 RED131120 RNZ131120 RXV131120 SHR131120 SRN131120 TBJ131120 TLF131120 TVB131120 UEX131120 UOT131120 UYP131120 VIL131120 VSH131120 WCD131120 WLZ131120 WVV131120 N196656 JJ196656 TF196656 ADB196656 AMX196656 AWT196656 BGP196656 BQL196656 CAH196656 CKD196656 CTZ196656 DDV196656 DNR196656 DXN196656 EHJ196656 ERF196656 FBB196656 FKX196656 FUT196656 GEP196656 GOL196656 GYH196656 HID196656 HRZ196656 IBV196656 ILR196656 IVN196656 JFJ196656 JPF196656 JZB196656 KIX196656 KST196656 LCP196656 LML196656 LWH196656 MGD196656 MPZ196656 MZV196656 NJR196656 NTN196656 ODJ196656 ONF196656 OXB196656 PGX196656 PQT196656 QAP196656 QKL196656 QUH196656 RED196656 RNZ196656 RXV196656 SHR196656 SRN196656 TBJ196656 TLF196656 TVB196656 UEX196656 UOT196656 UYP196656 VIL196656 VSH196656 WCD196656 WLZ196656 WVV196656 N262192 JJ262192 TF262192 ADB262192 AMX262192 AWT262192 BGP262192 BQL262192 CAH262192 CKD262192 CTZ262192 DDV262192 DNR262192 DXN262192 EHJ262192 ERF262192 FBB262192 FKX262192 FUT262192 GEP262192 GOL262192 GYH262192 HID262192 HRZ262192 IBV262192 ILR262192 IVN262192 JFJ262192 JPF262192 JZB262192 KIX262192 KST262192 LCP262192 LML262192 LWH262192 MGD262192 MPZ262192 MZV262192 NJR262192 NTN262192 ODJ262192 ONF262192 OXB262192 PGX262192 PQT262192 QAP262192 QKL262192 QUH262192 RED262192 RNZ262192 RXV262192 SHR262192 SRN262192 TBJ262192 TLF262192 TVB262192 UEX262192 UOT262192 UYP262192 VIL262192 VSH262192 WCD262192 WLZ262192 WVV262192 N327728 JJ327728 TF327728 ADB327728 AMX327728 AWT327728 BGP327728 BQL327728 CAH327728 CKD327728 CTZ327728 DDV327728 DNR327728 DXN327728 EHJ327728 ERF327728 FBB327728 FKX327728 FUT327728 GEP327728 GOL327728 GYH327728 HID327728 HRZ327728 IBV327728 ILR327728 IVN327728 JFJ327728 JPF327728 JZB327728 KIX327728 KST327728 LCP327728 LML327728 LWH327728 MGD327728 MPZ327728 MZV327728 NJR327728 NTN327728 ODJ327728 ONF327728 OXB327728 PGX327728 PQT327728 QAP327728 QKL327728 QUH327728 RED327728 RNZ327728 RXV327728 SHR327728 SRN327728 TBJ327728 TLF327728 TVB327728 UEX327728 UOT327728 UYP327728 VIL327728 VSH327728 WCD327728 WLZ327728 WVV327728 N393264 JJ393264 TF393264 ADB393264 AMX393264 AWT393264 BGP393264 BQL393264 CAH393264 CKD393264 CTZ393264 DDV393264 DNR393264 DXN393264 EHJ393264 ERF393264 FBB393264 FKX393264 FUT393264 GEP393264 GOL393264 GYH393264 HID393264 HRZ393264 IBV393264 ILR393264 IVN393264 JFJ393264 JPF393264 JZB393264 KIX393264 KST393264 LCP393264 LML393264 LWH393264 MGD393264 MPZ393264 MZV393264 NJR393264 NTN393264 ODJ393264 ONF393264 OXB393264 PGX393264 PQT393264 QAP393264 QKL393264 QUH393264 RED393264 RNZ393264 RXV393264 SHR393264 SRN393264 TBJ393264 TLF393264 TVB393264 UEX393264 UOT393264 UYP393264 VIL393264 VSH393264 WCD393264 WLZ393264 WVV393264 N458800 JJ458800 TF458800 ADB458800 AMX458800 AWT458800 BGP458800 BQL458800 CAH458800 CKD458800 CTZ458800 DDV458800 DNR458800 DXN458800 EHJ458800 ERF458800 FBB458800 FKX458800 FUT458800 GEP458800 GOL458800 GYH458800 HID458800 HRZ458800 IBV458800 ILR458800 IVN458800 JFJ458800 JPF458800 JZB458800 KIX458800 KST458800 LCP458800 LML458800 LWH458800 MGD458800 MPZ458800 MZV458800 NJR458800 NTN458800 ODJ458800 ONF458800 OXB458800 PGX458800 PQT458800 QAP458800 QKL458800 QUH458800 RED458800 RNZ458800 RXV458800 SHR458800 SRN458800 TBJ458800 TLF458800 TVB458800 UEX458800 UOT458800 UYP458800 VIL458800 VSH458800 WCD458800 WLZ458800 WVV458800 N524336 JJ524336 TF524336 ADB524336 AMX524336 AWT524336 BGP524336 BQL524336 CAH524336 CKD524336 CTZ524336 DDV524336 DNR524336 DXN524336 EHJ524336 ERF524336 FBB524336 FKX524336 FUT524336 GEP524336 GOL524336 GYH524336 HID524336 HRZ524336 IBV524336 ILR524336 IVN524336 JFJ524336 JPF524336 JZB524336 KIX524336 KST524336 LCP524336 LML524336 LWH524336 MGD524336 MPZ524336 MZV524336 NJR524336 NTN524336 ODJ524336 ONF524336 OXB524336 PGX524336 PQT524336 QAP524336 QKL524336 QUH524336 RED524336 RNZ524336 RXV524336 SHR524336 SRN524336 TBJ524336 TLF524336 TVB524336 UEX524336 UOT524336 UYP524336 VIL524336 VSH524336 WCD524336 WLZ524336 WVV524336 N589872 JJ589872 TF589872 ADB589872 AMX589872 AWT589872 BGP589872 BQL589872 CAH589872 CKD589872 CTZ589872 DDV589872 DNR589872 DXN589872 EHJ589872 ERF589872 FBB589872 FKX589872 FUT589872 GEP589872 GOL589872 GYH589872 HID589872 HRZ589872 IBV589872 ILR589872 IVN589872 JFJ589872 JPF589872 JZB589872 KIX589872 KST589872 LCP589872 LML589872 LWH589872 MGD589872 MPZ589872 MZV589872 NJR589872 NTN589872 ODJ589872 ONF589872 OXB589872 PGX589872 PQT589872 QAP589872 QKL589872 QUH589872 RED589872 RNZ589872 RXV589872 SHR589872 SRN589872 TBJ589872 TLF589872 TVB589872 UEX589872 UOT589872 UYP589872 VIL589872 VSH589872 WCD589872 WLZ589872 WVV589872 N655408 JJ655408 TF655408 ADB655408 AMX655408 AWT655408 BGP655408 BQL655408 CAH655408 CKD655408 CTZ655408 DDV655408 DNR655408 DXN655408 EHJ655408 ERF655408 FBB655408 FKX655408 FUT655408 GEP655408 GOL655408 GYH655408 HID655408 HRZ655408 IBV655408 ILR655408 IVN655408 JFJ655408 JPF655408 JZB655408 KIX655408 KST655408 LCP655408 LML655408 LWH655408 MGD655408 MPZ655408 MZV655408 NJR655408 NTN655408 ODJ655408 ONF655408 OXB655408 PGX655408 PQT655408 QAP655408 QKL655408 QUH655408 RED655408 RNZ655408 RXV655408 SHR655408 SRN655408 TBJ655408 TLF655408 TVB655408 UEX655408 UOT655408 UYP655408 VIL655408 VSH655408 WCD655408 WLZ655408 WVV655408 N720944 JJ720944 TF720944 ADB720944 AMX720944 AWT720944 BGP720944 BQL720944 CAH720944 CKD720944 CTZ720944 DDV720944 DNR720944 DXN720944 EHJ720944 ERF720944 FBB720944 FKX720944 FUT720944 GEP720944 GOL720944 GYH720944 HID720944 HRZ720944 IBV720944 ILR720944 IVN720944 JFJ720944 JPF720944 JZB720944 KIX720944 KST720944 LCP720944 LML720944 LWH720944 MGD720944 MPZ720944 MZV720944 NJR720944 NTN720944 ODJ720944 ONF720944 OXB720944 PGX720944 PQT720944 QAP720944 QKL720944 QUH720944 RED720944 RNZ720944 RXV720944 SHR720944 SRN720944 TBJ720944 TLF720944 TVB720944 UEX720944 UOT720944 UYP720944 VIL720944 VSH720944 WCD720944 WLZ720944 WVV720944 N786480 JJ786480 TF786480 ADB786480 AMX786480 AWT786480 BGP786480 BQL786480 CAH786480 CKD786480 CTZ786480 DDV786480 DNR786480 DXN786480 EHJ786480 ERF786480 FBB786480 FKX786480 FUT786480 GEP786480 GOL786480 GYH786480 HID786480 HRZ786480 IBV786480 ILR786480 IVN786480 JFJ786480 JPF786480 JZB786480 KIX786480 KST786480 LCP786480 LML786480 LWH786480 MGD786480 MPZ786480 MZV786480 NJR786480 NTN786480 ODJ786480 ONF786480 OXB786480 PGX786480 PQT786480 QAP786480 QKL786480 QUH786480 RED786480 RNZ786480 RXV786480 SHR786480 SRN786480 TBJ786480 TLF786480 TVB786480 UEX786480 UOT786480 UYP786480 VIL786480 VSH786480 WCD786480 WLZ786480 WVV786480 N852016 JJ852016 TF852016 ADB852016 AMX852016 AWT852016 BGP852016 BQL852016 CAH852016 CKD852016 CTZ852016 DDV852016 DNR852016 DXN852016 EHJ852016 ERF852016 FBB852016 FKX852016 FUT852016 GEP852016 GOL852016 GYH852016 HID852016 HRZ852016 IBV852016 ILR852016 IVN852016 JFJ852016 JPF852016 JZB852016 KIX852016 KST852016 LCP852016 LML852016 LWH852016 MGD852016 MPZ852016 MZV852016 NJR852016 NTN852016 ODJ852016 ONF852016 OXB852016 PGX852016 PQT852016 QAP852016 QKL852016 QUH852016 RED852016 RNZ852016 RXV852016 SHR852016 SRN852016 TBJ852016 TLF852016 TVB852016 UEX852016 UOT852016 UYP852016 VIL852016 VSH852016 WCD852016 WLZ852016 WVV852016 N917552 JJ917552 TF917552 ADB917552 AMX917552 AWT917552 BGP917552 BQL917552 CAH917552 CKD917552 CTZ917552 DDV917552 DNR917552 DXN917552 EHJ917552 ERF917552 FBB917552 FKX917552 FUT917552 GEP917552 GOL917552 GYH917552 HID917552 HRZ917552 IBV917552 ILR917552 IVN917552 JFJ917552 JPF917552 JZB917552 KIX917552 KST917552 LCP917552 LML917552 LWH917552 MGD917552 MPZ917552 MZV917552 NJR917552 NTN917552 ODJ917552 ONF917552 OXB917552 PGX917552 PQT917552 QAP917552 QKL917552 QUH917552 RED917552 RNZ917552 RXV917552 SHR917552 SRN917552 TBJ917552 TLF917552 TVB917552 UEX917552 UOT917552 UYP917552 VIL917552 VSH917552 WCD917552 WLZ917552 WVV917552 N983088 JJ983088 TF983088 ADB983088 AMX983088 AWT983088 BGP983088 BQL983088 CAH983088 CKD983088 CTZ983088 DDV983088 DNR983088 DXN983088 EHJ983088 ERF983088 FBB983088 FKX983088 FUT983088 GEP983088 GOL983088 GYH983088 HID983088 HRZ983088 IBV983088 ILR983088 IVN983088 JFJ983088 JPF983088 JZB983088 KIX983088 KST983088 LCP983088 LML983088 LWH983088 MGD983088 MPZ983088 MZV983088 NJR983088 NTN983088 ODJ983088 ONF983088 OXB983088 PGX983088 PQT983088 QAP983088 QKL983088 QUH983088 RED983088 RNZ983088 RXV983088 SHR983088 SRN983088 TBJ983088 TLF983088 TVB983088 UEX983088 UOT983088 UYP983088 VIL983088 VSH983088 WCD983088 WLZ983088 WVV983088 WLS983143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JB49:JB53 SX49:SX53 ACT49:ACT53 AMP49:AMP53 AWL49:AWL53 BGH49:BGH53 BQD49:BQD53 BZZ49:BZZ53 CJV49:CJV53 CTR49:CTR53 DDN49:DDN53 DNJ49:DNJ53 DXF49:DXF53 EHB49:EHB53 EQX49:EQX53 FAT49:FAT53 FKP49:FKP53 FUL49:FUL53 GEH49:GEH53 GOD49:GOD53 GXZ49:GXZ53 HHV49:HHV53 HRR49:HRR53 IBN49:IBN53 ILJ49:ILJ53 IVF49:IVF53 JFB49:JFB53 JOX49:JOX53 JYT49:JYT53 KIP49:KIP53 KSL49:KSL53 LCH49:LCH53 LMD49:LMD53 LVZ49:LVZ53 MFV49:MFV53 MPR49:MPR53 MZN49:MZN53 NJJ49:NJJ53 NTF49:NTF53 ODB49:ODB53 OMX49:OMX53 OWT49:OWT53 PGP49:PGP53 PQL49:PQL53 QAH49:QAH53 QKD49:QKD53 QTZ49:QTZ53 RDV49:RDV53 RNR49:RNR53 RXN49:RXN53 SHJ49:SHJ53 SRF49:SRF53 TBB49:TBB53 TKX49:TKX53 TUT49:TUT53 UEP49:UEP53 UOL49:UOL53 UYH49:UYH53 VID49:VID53 VRZ49:VRZ53 WBV49:WBV53 WLR49:WLR53 WVN49:WVN53 F65580:F65587 JB65580:JB65587 SX65580:SX65587 ACT65580:ACT65587 AMP65580:AMP65587 AWL65580:AWL65587 BGH65580:BGH65587 BQD65580:BQD65587 BZZ65580:BZZ65587 CJV65580:CJV65587 CTR65580:CTR65587 DDN65580:DDN65587 DNJ65580:DNJ65587 DXF65580:DXF65587 EHB65580:EHB65587 EQX65580:EQX65587 FAT65580:FAT65587 FKP65580:FKP65587 FUL65580:FUL65587 GEH65580:GEH65587 GOD65580:GOD65587 GXZ65580:GXZ65587 HHV65580:HHV65587 HRR65580:HRR65587 IBN65580:IBN65587 ILJ65580:ILJ65587 IVF65580:IVF65587 JFB65580:JFB65587 JOX65580:JOX65587 JYT65580:JYT65587 KIP65580:KIP65587 KSL65580:KSL65587 LCH65580:LCH65587 LMD65580:LMD65587 LVZ65580:LVZ65587 MFV65580:MFV65587 MPR65580:MPR65587 MZN65580:MZN65587 NJJ65580:NJJ65587 NTF65580:NTF65587 ODB65580:ODB65587 OMX65580:OMX65587 OWT65580:OWT65587 PGP65580:PGP65587 PQL65580:PQL65587 QAH65580:QAH65587 QKD65580:QKD65587 QTZ65580:QTZ65587 RDV65580:RDV65587 RNR65580:RNR65587 RXN65580:RXN65587 SHJ65580:SHJ65587 SRF65580:SRF65587 TBB65580:TBB65587 TKX65580:TKX65587 TUT65580:TUT65587 UEP65580:UEP65587 UOL65580:UOL65587 UYH65580:UYH65587 VID65580:VID65587 VRZ65580:VRZ65587 WBV65580:WBV65587 WLR65580:WLR65587 WVN65580:WVN65587 F131116:F131123 JB131116:JB131123 SX131116:SX131123 ACT131116:ACT131123 AMP131116:AMP131123 AWL131116:AWL131123 BGH131116:BGH131123 BQD131116:BQD131123 BZZ131116:BZZ131123 CJV131116:CJV131123 CTR131116:CTR131123 DDN131116:DDN131123 DNJ131116:DNJ131123 DXF131116:DXF131123 EHB131116:EHB131123 EQX131116:EQX131123 FAT131116:FAT131123 FKP131116:FKP131123 FUL131116:FUL131123 GEH131116:GEH131123 GOD131116:GOD131123 GXZ131116:GXZ131123 HHV131116:HHV131123 HRR131116:HRR131123 IBN131116:IBN131123 ILJ131116:ILJ131123 IVF131116:IVF131123 JFB131116:JFB131123 JOX131116:JOX131123 JYT131116:JYT131123 KIP131116:KIP131123 KSL131116:KSL131123 LCH131116:LCH131123 LMD131116:LMD131123 LVZ131116:LVZ131123 MFV131116:MFV131123 MPR131116:MPR131123 MZN131116:MZN131123 NJJ131116:NJJ131123 NTF131116:NTF131123 ODB131116:ODB131123 OMX131116:OMX131123 OWT131116:OWT131123 PGP131116:PGP131123 PQL131116:PQL131123 QAH131116:QAH131123 QKD131116:QKD131123 QTZ131116:QTZ131123 RDV131116:RDV131123 RNR131116:RNR131123 RXN131116:RXN131123 SHJ131116:SHJ131123 SRF131116:SRF131123 TBB131116:TBB131123 TKX131116:TKX131123 TUT131116:TUT131123 UEP131116:UEP131123 UOL131116:UOL131123 UYH131116:UYH131123 VID131116:VID131123 VRZ131116:VRZ131123 WBV131116:WBV131123 WLR131116:WLR131123 WVN131116:WVN131123 F196652:F196659 JB196652:JB196659 SX196652:SX196659 ACT196652:ACT196659 AMP196652:AMP196659 AWL196652:AWL196659 BGH196652:BGH196659 BQD196652:BQD196659 BZZ196652:BZZ196659 CJV196652:CJV196659 CTR196652:CTR196659 DDN196652:DDN196659 DNJ196652:DNJ196659 DXF196652:DXF196659 EHB196652:EHB196659 EQX196652:EQX196659 FAT196652:FAT196659 FKP196652:FKP196659 FUL196652:FUL196659 GEH196652:GEH196659 GOD196652:GOD196659 GXZ196652:GXZ196659 HHV196652:HHV196659 HRR196652:HRR196659 IBN196652:IBN196659 ILJ196652:ILJ196659 IVF196652:IVF196659 JFB196652:JFB196659 JOX196652:JOX196659 JYT196652:JYT196659 KIP196652:KIP196659 KSL196652:KSL196659 LCH196652:LCH196659 LMD196652:LMD196659 LVZ196652:LVZ196659 MFV196652:MFV196659 MPR196652:MPR196659 MZN196652:MZN196659 NJJ196652:NJJ196659 NTF196652:NTF196659 ODB196652:ODB196659 OMX196652:OMX196659 OWT196652:OWT196659 PGP196652:PGP196659 PQL196652:PQL196659 QAH196652:QAH196659 QKD196652:QKD196659 QTZ196652:QTZ196659 RDV196652:RDV196659 RNR196652:RNR196659 RXN196652:RXN196659 SHJ196652:SHJ196659 SRF196652:SRF196659 TBB196652:TBB196659 TKX196652:TKX196659 TUT196652:TUT196659 UEP196652:UEP196659 UOL196652:UOL196659 UYH196652:UYH196659 VID196652:VID196659 VRZ196652:VRZ196659 WBV196652:WBV196659 WLR196652:WLR196659 WVN196652:WVN196659 F262188:F262195 JB262188:JB262195 SX262188:SX262195 ACT262188:ACT262195 AMP262188:AMP262195 AWL262188:AWL262195 BGH262188:BGH262195 BQD262188:BQD262195 BZZ262188:BZZ262195 CJV262188:CJV262195 CTR262188:CTR262195 DDN262188:DDN262195 DNJ262188:DNJ262195 DXF262188:DXF262195 EHB262188:EHB262195 EQX262188:EQX262195 FAT262188:FAT262195 FKP262188:FKP262195 FUL262188:FUL262195 GEH262188:GEH262195 GOD262188:GOD262195 GXZ262188:GXZ262195 HHV262188:HHV262195 HRR262188:HRR262195 IBN262188:IBN262195 ILJ262188:ILJ262195 IVF262188:IVF262195 JFB262188:JFB262195 JOX262188:JOX262195 JYT262188:JYT262195 KIP262188:KIP262195 KSL262188:KSL262195 LCH262188:LCH262195 LMD262188:LMD262195 LVZ262188:LVZ262195 MFV262188:MFV262195 MPR262188:MPR262195 MZN262188:MZN262195 NJJ262188:NJJ262195 NTF262188:NTF262195 ODB262188:ODB262195 OMX262188:OMX262195 OWT262188:OWT262195 PGP262188:PGP262195 PQL262188:PQL262195 QAH262188:QAH262195 QKD262188:QKD262195 QTZ262188:QTZ262195 RDV262188:RDV262195 RNR262188:RNR262195 RXN262188:RXN262195 SHJ262188:SHJ262195 SRF262188:SRF262195 TBB262188:TBB262195 TKX262188:TKX262195 TUT262188:TUT262195 UEP262188:UEP262195 UOL262188:UOL262195 UYH262188:UYH262195 VID262188:VID262195 VRZ262188:VRZ262195 WBV262188:WBV262195 WLR262188:WLR262195 WVN262188:WVN262195 F327724:F327731 JB327724:JB327731 SX327724:SX327731 ACT327724:ACT327731 AMP327724:AMP327731 AWL327724:AWL327731 BGH327724:BGH327731 BQD327724:BQD327731 BZZ327724:BZZ327731 CJV327724:CJV327731 CTR327724:CTR327731 DDN327724:DDN327731 DNJ327724:DNJ327731 DXF327724:DXF327731 EHB327724:EHB327731 EQX327724:EQX327731 FAT327724:FAT327731 FKP327724:FKP327731 FUL327724:FUL327731 GEH327724:GEH327731 GOD327724:GOD327731 GXZ327724:GXZ327731 HHV327724:HHV327731 HRR327724:HRR327731 IBN327724:IBN327731 ILJ327724:ILJ327731 IVF327724:IVF327731 JFB327724:JFB327731 JOX327724:JOX327731 JYT327724:JYT327731 KIP327724:KIP327731 KSL327724:KSL327731 LCH327724:LCH327731 LMD327724:LMD327731 LVZ327724:LVZ327731 MFV327724:MFV327731 MPR327724:MPR327731 MZN327724:MZN327731 NJJ327724:NJJ327731 NTF327724:NTF327731 ODB327724:ODB327731 OMX327724:OMX327731 OWT327724:OWT327731 PGP327724:PGP327731 PQL327724:PQL327731 QAH327724:QAH327731 QKD327724:QKD327731 QTZ327724:QTZ327731 RDV327724:RDV327731 RNR327724:RNR327731 RXN327724:RXN327731 SHJ327724:SHJ327731 SRF327724:SRF327731 TBB327724:TBB327731 TKX327724:TKX327731 TUT327724:TUT327731 UEP327724:UEP327731 UOL327724:UOL327731 UYH327724:UYH327731 VID327724:VID327731 VRZ327724:VRZ327731 WBV327724:WBV327731 WLR327724:WLR327731 WVN327724:WVN327731 F393260:F393267 JB393260:JB393267 SX393260:SX393267 ACT393260:ACT393267 AMP393260:AMP393267 AWL393260:AWL393267 BGH393260:BGH393267 BQD393260:BQD393267 BZZ393260:BZZ393267 CJV393260:CJV393267 CTR393260:CTR393267 DDN393260:DDN393267 DNJ393260:DNJ393267 DXF393260:DXF393267 EHB393260:EHB393267 EQX393260:EQX393267 FAT393260:FAT393267 FKP393260:FKP393267 FUL393260:FUL393267 GEH393260:GEH393267 GOD393260:GOD393267 GXZ393260:GXZ393267 HHV393260:HHV393267 HRR393260:HRR393267 IBN393260:IBN393267 ILJ393260:ILJ393267 IVF393260:IVF393267 JFB393260:JFB393267 JOX393260:JOX393267 JYT393260:JYT393267 KIP393260:KIP393267 KSL393260:KSL393267 LCH393260:LCH393267 LMD393260:LMD393267 LVZ393260:LVZ393267 MFV393260:MFV393267 MPR393260:MPR393267 MZN393260:MZN393267 NJJ393260:NJJ393267 NTF393260:NTF393267 ODB393260:ODB393267 OMX393260:OMX393267 OWT393260:OWT393267 PGP393260:PGP393267 PQL393260:PQL393267 QAH393260:QAH393267 QKD393260:QKD393267 QTZ393260:QTZ393267 RDV393260:RDV393267 RNR393260:RNR393267 RXN393260:RXN393267 SHJ393260:SHJ393267 SRF393260:SRF393267 TBB393260:TBB393267 TKX393260:TKX393267 TUT393260:TUT393267 UEP393260:UEP393267 UOL393260:UOL393267 UYH393260:UYH393267 VID393260:VID393267 VRZ393260:VRZ393267 WBV393260:WBV393267 WLR393260:WLR393267 WVN393260:WVN393267 F458796:F458803 JB458796:JB458803 SX458796:SX458803 ACT458796:ACT458803 AMP458796:AMP458803 AWL458796:AWL458803 BGH458796:BGH458803 BQD458796:BQD458803 BZZ458796:BZZ458803 CJV458796:CJV458803 CTR458796:CTR458803 DDN458796:DDN458803 DNJ458796:DNJ458803 DXF458796:DXF458803 EHB458796:EHB458803 EQX458796:EQX458803 FAT458796:FAT458803 FKP458796:FKP458803 FUL458796:FUL458803 GEH458796:GEH458803 GOD458796:GOD458803 GXZ458796:GXZ458803 HHV458796:HHV458803 HRR458796:HRR458803 IBN458796:IBN458803 ILJ458796:ILJ458803 IVF458796:IVF458803 JFB458796:JFB458803 JOX458796:JOX458803 JYT458796:JYT458803 KIP458796:KIP458803 KSL458796:KSL458803 LCH458796:LCH458803 LMD458796:LMD458803 LVZ458796:LVZ458803 MFV458796:MFV458803 MPR458796:MPR458803 MZN458796:MZN458803 NJJ458796:NJJ458803 NTF458796:NTF458803 ODB458796:ODB458803 OMX458796:OMX458803 OWT458796:OWT458803 PGP458796:PGP458803 PQL458796:PQL458803 QAH458796:QAH458803 QKD458796:QKD458803 QTZ458796:QTZ458803 RDV458796:RDV458803 RNR458796:RNR458803 RXN458796:RXN458803 SHJ458796:SHJ458803 SRF458796:SRF458803 TBB458796:TBB458803 TKX458796:TKX458803 TUT458796:TUT458803 UEP458796:UEP458803 UOL458796:UOL458803 UYH458796:UYH458803 VID458796:VID458803 VRZ458796:VRZ458803 WBV458796:WBV458803 WLR458796:WLR458803 WVN458796:WVN458803 F524332:F524339 JB524332:JB524339 SX524332:SX524339 ACT524332:ACT524339 AMP524332:AMP524339 AWL524332:AWL524339 BGH524332:BGH524339 BQD524332:BQD524339 BZZ524332:BZZ524339 CJV524332:CJV524339 CTR524332:CTR524339 DDN524332:DDN524339 DNJ524332:DNJ524339 DXF524332:DXF524339 EHB524332:EHB524339 EQX524332:EQX524339 FAT524332:FAT524339 FKP524332:FKP524339 FUL524332:FUL524339 GEH524332:GEH524339 GOD524332:GOD524339 GXZ524332:GXZ524339 HHV524332:HHV524339 HRR524332:HRR524339 IBN524332:IBN524339 ILJ524332:ILJ524339 IVF524332:IVF524339 JFB524332:JFB524339 JOX524332:JOX524339 JYT524332:JYT524339 KIP524332:KIP524339 KSL524332:KSL524339 LCH524332:LCH524339 LMD524332:LMD524339 LVZ524332:LVZ524339 MFV524332:MFV524339 MPR524332:MPR524339 MZN524332:MZN524339 NJJ524332:NJJ524339 NTF524332:NTF524339 ODB524332:ODB524339 OMX524332:OMX524339 OWT524332:OWT524339 PGP524332:PGP524339 PQL524332:PQL524339 QAH524332:QAH524339 QKD524332:QKD524339 QTZ524332:QTZ524339 RDV524332:RDV524339 RNR524332:RNR524339 RXN524332:RXN524339 SHJ524332:SHJ524339 SRF524332:SRF524339 TBB524332:TBB524339 TKX524332:TKX524339 TUT524332:TUT524339 UEP524332:UEP524339 UOL524332:UOL524339 UYH524332:UYH524339 VID524332:VID524339 VRZ524332:VRZ524339 WBV524332:WBV524339 WLR524332:WLR524339 WVN524332:WVN524339 F589868:F589875 JB589868:JB589875 SX589868:SX589875 ACT589868:ACT589875 AMP589868:AMP589875 AWL589868:AWL589875 BGH589868:BGH589875 BQD589868:BQD589875 BZZ589868:BZZ589875 CJV589868:CJV589875 CTR589868:CTR589875 DDN589868:DDN589875 DNJ589868:DNJ589875 DXF589868:DXF589875 EHB589868:EHB589875 EQX589868:EQX589875 FAT589868:FAT589875 FKP589868:FKP589875 FUL589868:FUL589875 GEH589868:GEH589875 GOD589868:GOD589875 GXZ589868:GXZ589875 HHV589868:HHV589875 HRR589868:HRR589875 IBN589868:IBN589875 ILJ589868:ILJ589875 IVF589868:IVF589875 JFB589868:JFB589875 JOX589868:JOX589875 JYT589868:JYT589875 KIP589868:KIP589875 KSL589868:KSL589875 LCH589868:LCH589875 LMD589868:LMD589875 LVZ589868:LVZ589875 MFV589868:MFV589875 MPR589868:MPR589875 MZN589868:MZN589875 NJJ589868:NJJ589875 NTF589868:NTF589875 ODB589868:ODB589875 OMX589868:OMX589875 OWT589868:OWT589875 PGP589868:PGP589875 PQL589868:PQL589875 QAH589868:QAH589875 QKD589868:QKD589875 QTZ589868:QTZ589875 RDV589868:RDV589875 RNR589868:RNR589875 RXN589868:RXN589875 SHJ589868:SHJ589875 SRF589868:SRF589875 TBB589868:TBB589875 TKX589868:TKX589875 TUT589868:TUT589875 UEP589868:UEP589875 UOL589868:UOL589875 UYH589868:UYH589875 VID589868:VID589875 VRZ589868:VRZ589875 WBV589868:WBV589875 WLR589868:WLR589875 WVN589868:WVN589875 F655404:F655411 JB655404:JB655411 SX655404:SX655411 ACT655404:ACT655411 AMP655404:AMP655411 AWL655404:AWL655411 BGH655404:BGH655411 BQD655404:BQD655411 BZZ655404:BZZ655411 CJV655404:CJV655411 CTR655404:CTR655411 DDN655404:DDN655411 DNJ655404:DNJ655411 DXF655404:DXF655411 EHB655404:EHB655411 EQX655404:EQX655411 FAT655404:FAT655411 FKP655404:FKP655411 FUL655404:FUL655411 GEH655404:GEH655411 GOD655404:GOD655411 GXZ655404:GXZ655411 HHV655404:HHV655411 HRR655404:HRR655411 IBN655404:IBN655411 ILJ655404:ILJ655411 IVF655404:IVF655411 JFB655404:JFB655411 JOX655404:JOX655411 JYT655404:JYT655411 KIP655404:KIP655411 KSL655404:KSL655411 LCH655404:LCH655411 LMD655404:LMD655411 LVZ655404:LVZ655411 MFV655404:MFV655411 MPR655404:MPR655411 MZN655404:MZN655411 NJJ655404:NJJ655411 NTF655404:NTF655411 ODB655404:ODB655411 OMX655404:OMX655411 OWT655404:OWT655411 PGP655404:PGP655411 PQL655404:PQL655411 QAH655404:QAH655411 QKD655404:QKD655411 QTZ655404:QTZ655411 RDV655404:RDV655411 RNR655404:RNR655411 RXN655404:RXN655411 SHJ655404:SHJ655411 SRF655404:SRF655411 TBB655404:TBB655411 TKX655404:TKX655411 TUT655404:TUT655411 UEP655404:UEP655411 UOL655404:UOL655411 UYH655404:UYH655411 VID655404:VID655411 VRZ655404:VRZ655411 WBV655404:WBV655411 WLR655404:WLR655411 WVN655404:WVN655411 F720940:F720947 JB720940:JB720947 SX720940:SX720947 ACT720940:ACT720947 AMP720940:AMP720947 AWL720940:AWL720947 BGH720940:BGH720947 BQD720940:BQD720947 BZZ720940:BZZ720947 CJV720940:CJV720947 CTR720940:CTR720947 DDN720940:DDN720947 DNJ720940:DNJ720947 DXF720940:DXF720947 EHB720940:EHB720947 EQX720940:EQX720947 FAT720940:FAT720947 FKP720940:FKP720947 FUL720940:FUL720947 GEH720940:GEH720947 GOD720940:GOD720947 GXZ720940:GXZ720947 HHV720940:HHV720947 HRR720940:HRR720947 IBN720940:IBN720947 ILJ720940:ILJ720947 IVF720940:IVF720947 JFB720940:JFB720947 JOX720940:JOX720947 JYT720940:JYT720947 KIP720940:KIP720947 KSL720940:KSL720947 LCH720940:LCH720947 LMD720940:LMD720947 LVZ720940:LVZ720947 MFV720940:MFV720947 MPR720940:MPR720947 MZN720940:MZN720947 NJJ720940:NJJ720947 NTF720940:NTF720947 ODB720940:ODB720947 OMX720940:OMX720947 OWT720940:OWT720947 PGP720940:PGP720947 PQL720940:PQL720947 QAH720940:QAH720947 QKD720940:QKD720947 QTZ720940:QTZ720947 RDV720940:RDV720947 RNR720940:RNR720947 RXN720940:RXN720947 SHJ720940:SHJ720947 SRF720940:SRF720947 TBB720940:TBB720947 TKX720940:TKX720947 TUT720940:TUT720947 UEP720940:UEP720947 UOL720940:UOL720947 UYH720940:UYH720947 VID720940:VID720947 VRZ720940:VRZ720947 WBV720940:WBV720947 WLR720940:WLR720947 WVN720940:WVN720947 F786476:F786483 JB786476:JB786483 SX786476:SX786483 ACT786476:ACT786483 AMP786476:AMP786483 AWL786476:AWL786483 BGH786476:BGH786483 BQD786476:BQD786483 BZZ786476:BZZ786483 CJV786476:CJV786483 CTR786476:CTR786483 DDN786476:DDN786483 DNJ786476:DNJ786483 DXF786476:DXF786483 EHB786476:EHB786483 EQX786476:EQX786483 FAT786476:FAT786483 FKP786476:FKP786483 FUL786476:FUL786483 GEH786476:GEH786483 GOD786476:GOD786483 GXZ786476:GXZ786483 HHV786476:HHV786483 HRR786476:HRR786483 IBN786476:IBN786483 ILJ786476:ILJ786483 IVF786476:IVF786483 JFB786476:JFB786483 JOX786476:JOX786483 JYT786476:JYT786483 KIP786476:KIP786483 KSL786476:KSL786483 LCH786476:LCH786483 LMD786476:LMD786483 LVZ786476:LVZ786483 MFV786476:MFV786483 MPR786476:MPR786483 MZN786476:MZN786483 NJJ786476:NJJ786483 NTF786476:NTF786483 ODB786476:ODB786483 OMX786476:OMX786483 OWT786476:OWT786483 PGP786476:PGP786483 PQL786476:PQL786483 QAH786476:QAH786483 QKD786476:QKD786483 QTZ786476:QTZ786483 RDV786476:RDV786483 RNR786476:RNR786483 RXN786476:RXN786483 SHJ786476:SHJ786483 SRF786476:SRF786483 TBB786476:TBB786483 TKX786476:TKX786483 TUT786476:TUT786483 UEP786476:UEP786483 UOL786476:UOL786483 UYH786476:UYH786483 VID786476:VID786483 VRZ786476:VRZ786483 WBV786476:WBV786483 WLR786476:WLR786483 WVN786476:WVN786483 F852012:F852019 JB852012:JB852019 SX852012:SX852019 ACT852012:ACT852019 AMP852012:AMP852019 AWL852012:AWL852019 BGH852012:BGH852019 BQD852012:BQD852019 BZZ852012:BZZ852019 CJV852012:CJV852019 CTR852012:CTR852019 DDN852012:DDN852019 DNJ852012:DNJ852019 DXF852012:DXF852019 EHB852012:EHB852019 EQX852012:EQX852019 FAT852012:FAT852019 FKP852012:FKP852019 FUL852012:FUL852019 GEH852012:GEH852019 GOD852012:GOD852019 GXZ852012:GXZ852019 HHV852012:HHV852019 HRR852012:HRR852019 IBN852012:IBN852019 ILJ852012:ILJ852019 IVF852012:IVF852019 JFB852012:JFB852019 JOX852012:JOX852019 JYT852012:JYT852019 KIP852012:KIP852019 KSL852012:KSL852019 LCH852012:LCH852019 LMD852012:LMD852019 LVZ852012:LVZ852019 MFV852012:MFV852019 MPR852012:MPR852019 MZN852012:MZN852019 NJJ852012:NJJ852019 NTF852012:NTF852019 ODB852012:ODB852019 OMX852012:OMX852019 OWT852012:OWT852019 PGP852012:PGP852019 PQL852012:PQL852019 QAH852012:QAH852019 QKD852012:QKD852019 QTZ852012:QTZ852019 RDV852012:RDV852019 RNR852012:RNR852019 RXN852012:RXN852019 SHJ852012:SHJ852019 SRF852012:SRF852019 TBB852012:TBB852019 TKX852012:TKX852019 TUT852012:TUT852019 UEP852012:UEP852019 UOL852012:UOL852019 UYH852012:UYH852019 VID852012:VID852019 VRZ852012:VRZ852019 WBV852012:WBV852019 WLR852012:WLR852019 WVN852012:WVN852019 F917548:F917555 JB917548:JB917555 SX917548:SX917555 ACT917548:ACT917555 AMP917548:AMP917555 AWL917548:AWL917555 BGH917548:BGH917555 BQD917548:BQD917555 BZZ917548:BZZ917555 CJV917548:CJV917555 CTR917548:CTR917555 DDN917548:DDN917555 DNJ917548:DNJ917555 DXF917548:DXF917555 EHB917548:EHB917555 EQX917548:EQX917555 FAT917548:FAT917555 FKP917548:FKP917555 FUL917548:FUL917555 GEH917548:GEH917555 GOD917548:GOD917555 GXZ917548:GXZ917555 HHV917548:HHV917555 HRR917548:HRR917555 IBN917548:IBN917555 ILJ917548:ILJ917555 IVF917548:IVF917555 JFB917548:JFB917555 JOX917548:JOX917555 JYT917548:JYT917555 KIP917548:KIP917555 KSL917548:KSL917555 LCH917548:LCH917555 LMD917548:LMD917555 LVZ917548:LVZ917555 MFV917548:MFV917555 MPR917548:MPR917555 MZN917548:MZN917555 NJJ917548:NJJ917555 NTF917548:NTF917555 ODB917548:ODB917555 OMX917548:OMX917555 OWT917548:OWT917555 PGP917548:PGP917555 PQL917548:PQL917555 QAH917548:QAH917555 QKD917548:QKD917555 QTZ917548:QTZ917555 RDV917548:RDV917555 RNR917548:RNR917555 RXN917548:RXN917555 SHJ917548:SHJ917555 SRF917548:SRF917555 TBB917548:TBB917555 TKX917548:TKX917555 TUT917548:TUT917555 UEP917548:UEP917555 UOL917548:UOL917555 UYH917548:UYH917555 VID917548:VID917555 VRZ917548:VRZ917555 WBV917548:WBV917555 WLR917548:WLR917555 WVN917548:WVN917555 F983084:F983091 JB983084:JB983091 SX983084:SX983091 ACT983084:ACT983091 AMP983084:AMP983091 AWL983084:AWL983091 BGH983084:BGH983091 BQD983084:BQD983091 BZZ983084:BZZ983091 CJV983084:CJV983091 CTR983084:CTR983091 DDN983084:DDN983091 DNJ983084:DNJ983091 DXF983084:DXF983091 EHB983084:EHB983091 EQX983084:EQX983091 FAT983084:FAT983091 FKP983084:FKP983091 FUL983084:FUL983091 GEH983084:GEH983091 GOD983084:GOD983091 GXZ983084:GXZ983091 HHV983084:HHV983091 HRR983084:HRR983091 IBN983084:IBN983091 ILJ983084:ILJ983091 IVF983084:IVF983091 JFB983084:JFB983091 JOX983084:JOX983091 JYT983084:JYT983091 KIP983084:KIP983091 KSL983084:KSL983091 LCH983084:LCH983091 LMD983084:LMD983091 LVZ983084:LVZ983091 MFV983084:MFV983091 MPR983084:MPR983091 MZN983084:MZN983091 NJJ983084:NJJ983091 NTF983084:NTF983091 ODB983084:ODB983091 OMX983084:OMX983091 OWT983084:OWT983091 PGP983084:PGP983091 PQL983084:PQL983091 QAH983084:QAH983091 QKD983084:QKD983091 QTZ983084:QTZ983091 RDV983084:RDV983091 RNR983084:RNR983091 RXN983084:RXN983091 SHJ983084:SHJ983091 SRF983084:SRF983091 TBB983084:TBB983091 TKX983084:TKX983091 TUT983084:TUT983091 UEP983084:UEP983091 UOL983084:UOL983091 UYH983084:UYH983091 VID983084:VID983091 VRZ983084:VRZ983091 WBV983084:WBV983091 WLR983084:WLR983091 WVN983084:WVN983091 WVO983143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TUU983143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AXC105:AXC107 JB113:JB117 SX113:SX117 ACT113:ACT117 AMP113:AMP117 AWL113:AWL117 BGH113:BGH117 BQD113:BQD117 BZZ113:BZZ117 CJV113:CJV117 CTR113:CTR117 DDN113:DDN117 DNJ113:DNJ117 DXF113:DXF117 EHB113:EHB117 EQX113:EQX117 FAT113:FAT117 FKP113:FKP117 FUL113:FUL117 GEH113:GEH117 GOD113:GOD117 GXZ113:GXZ117 HHV113:HHV117 HRR113:HRR117 IBN113:IBN117 ILJ113:ILJ117 IVF113:IVF117 JFB113:JFB117 JOX113:JOX117 JYT113:JYT117 KIP113:KIP117 KSL113:KSL117 LCH113:LCH117 LMD113:LMD117 LVZ113:LVZ117 MFV113:MFV117 MPR113:MPR117 MZN113:MZN117 NJJ113:NJJ117 NTF113:NTF117 ODB113:ODB117 OMX113:OMX117 OWT113:OWT117 PGP113:PGP117 PQL113:PQL117 QAH113:QAH117 QKD113:QKD117 QTZ113:QTZ117 RDV113:RDV117 RNR113:RNR117 RXN113:RXN117 SHJ113:SHJ117 SRF113:SRF117 TBB113:TBB117 TKX113:TKX117 TUT113:TUT117 UEP113:UEP117 UOL113:UOL117 UYH113:UYH117 VID113:VID117 VRZ113:VRZ117 WBV113:WBV117 WLR113:WLR117 WVN113:WVN117 F65649:F65653 JB65649:JB65653 SX65649:SX65653 ACT65649:ACT65653 AMP65649:AMP65653 AWL65649:AWL65653 BGH65649:BGH65653 BQD65649:BQD65653 BZZ65649:BZZ65653 CJV65649:CJV65653 CTR65649:CTR65653 DDN65649:DDN65653 DNJ65649:DNJ65653 DXF65649:DXF65653 EHB65649:EHB65653 EQX65649:EQX65653 FAT65649:FAT65653 FKP65649:FKP65653 FUL65649:FUL65653 GEH65649:GEH65653 GOD65649:GOD65653 GXZ65649:GXZ65653 HHV65649:HHV65653 HRR65649:HRR65653 IBN65649:IBN65653 ILJ65649:ILJ65653 IVF65649:IVF65653 JFB65649:JFB65653 JOX65649:JOX65653 JYT65649:JYT65653 KIP65649:KIP65653 KSL65649:KSL65653 LCH65649:LCH65653 LMD65649:LMD65653 LVZ65649:LVZ65653 MFV65649:MFV65653 MPR65649:MPR65653 MZN65649:MZN65653 NJJ65649:NJJ65653 NTF65649:NTF65653 ODB65649:ODB65653 OMX65649:OMX65653 OWT65649:OWT65653 PGP65649:PGP65653 PQL65649:PQL65653 QAH65649:QAH65653 QKD65649:QKD65653 QTZ65649:QTZ65653 RDV65649:RDV65653 RNR65649:RNR65653 RXN65649:RXN65653 SHJ65649:SHJ65653 SRF65649:SRF65653 TBB65649:TBB65653 TKX65649:TKX65653 TUT65649:TUT65653 UEP65649:UEP65653 UOL65649:UOL65653 UYH65649:UYH65653 VID65649:VID65653 VRZ65649:VRZ65653 WBV65649:WBV65653 WLR65649:WLR65653 WVN65649:WVN65653 F131185:F131189 JB131185:JB131189 SX131185:SX131189 ACT131185:ACT131189 AMP131185:AMP131189 AWL131185:AWL131189 BGH131185:BGH131189 BQD131185:BQD131189 BZZ131185:BZZ131189 CJV131185:CJV131189 CTR131185:CTR131189 DDN131185:DDN131189 DNJ131185:DNJ131189 DXF131185:DXF131189 EHB131185:EHB131189 EQX131185:EQX131189 FAT131185:FAT131189 FKP131185:FKP131189 FUL131185:FUL131189 GEH131185:GEH131189 GOD131185:GOD131189 GXZ131185:GXZ131189 HHV131185:HHV131189 HRR131185:HRR131189 IBN131185:IBN131189 ILJ131185:ILJ131189 IVF131185:IVF131189 JFB131185:JFB131189 JOX131185:JOX131189 JYT131185:JYT131189 KIP131185:KIP131189 KSL131185:KSL131189 LCH131185:LCH131189 LMD131185:LMD131189 LVZ131185:LVZ131189 MFV131185:MFV131189 MPR131185:MPR131189 MZN131185:MZN131189 NJJ131185:NJJ131189 NTF131185:NTF131189 ODB131185:ODB131189 OMX131185:OMX131189 OWT131185:OWT131189 PGP131185:PGP131189 PQL131185:PQL131189 QAH131185:QAH131189 QKD131185:QKD131189 QTZ131185:QTZ131189 RDV131185:RDV131189 RNR131185:RNR131189 RXN131185:RXN131189 SHJ131185:SHJ131189 SRF131185:SRF131189 TBB131185:TBB131189 TKX131185:TKX131189 TUT131185:TUT131189 UEP131185:UEP131189 UOL131185:UOL131189 UYH131185:UYH131189 VID131185:VID131189 VRZ131185:VRZ131189 WBV131185:WBV131189 WLR131185:WLR131189 WVN131185:WVN131189 F196721:F196725 JB196721:JB196725 SX196721:SX196725 ACT196721:ACT196725 AMP196721:AMP196725 AWL196721:AWL196725 BGH196721:BGH196725 BQD196721:BQD196725 BZZ196721:BZZ196725 CJV196721:CJV196725 CTR196721:CTR196725 DDN196721:DDN196725 DNJ196721:DNJ196725 DXF196721:DXF196725 EHB196721:EHB196725 EQX196721:EQX196725 FAT196721:FAT196725 FKP196721:FKP196725 FUL196721:FUL196725 GEH196721:GEH196725 GOD196721:GOD196725 GXZ196721:GXZ196725 HHV196721:HHV196725 HRR196721:HRR196725 IBN196721:IBN196725 ILJ196721:ILJ196725 IVF196721:IVF196725 JFB196721:JFB196725 JOX196721:JOX196725 JYT196721:JYT196725 KIP196721:KIP196725 KSL196721:KSL196725 LCH196721:LCH196725 LMD196721:LMD196725 LVZ196721:LVZ196725 MFV196721:MFV196725 MPR196721:MPR196725 MZN196721:MZN196725 NJJ196721:NJJ196725 NTF196721:NTF196725 ODB196721:ODB196725 OMX196721:OMX196725 OWT196721:OWT196725 PGP196721:PGP196725 PQL196721:PQL196725 QAH196721:QAH196725 QKD196721:QKD196725 QTZ196721:QTZ196725 RDV196721:RDV196725 RNR196721:RNR196725 RXN196721:RXN196725 SHJ196721:SHJ196725 SRF196721:SRF196725 TBB196721:TBB196725 TKX196721:TKX196725 TUT196721:TUT196725 UEP196721:UEP196725 UOL196721:UOL196725 UYH196721:UYH196725 VID196721:VID196725 VRZ196721:VRZ196725 WBV196721:WBV196725 WLR196721:WLR196725 WVN196721:WVN196725 F262257:F262261 JB262257:JB262261 SX262257:SX262261 ACT262257:ACT262261 AMP262257:AMP262261 AWL262257:AWL262261 BGH262257:BGH262261 BQD262257:BQD262261 BZZ262257:BZZ262261 CJV262257:CJV262261 CTR262257:CTR262261 DDN262257:DDN262261 DNJ262257:DNJ262261 DXF262257:DXF262261 EHB262257:EHB262261 EQX262257:EQX262261 FAT262257:FAT262261 FKP262257:FKP262261 FUL262257:FUL262261 GEH262257:GEH262261 GOD262257:GOD262261 GXZ262257:GXZ262261 HHV262257:HHV262261 HRR262257:HRR262261 IBN262257:IBN262261 ILJ262257:ILJ262261 IVF262257:IVF262261 JFB262257:JFB262261 JOX262257:JOX262261 JYT262257:JYT262261 KIP262257:KIP262261 KSL262257:KSL262261 LCH262257:LCH262261 LMD262257:LMD262261 LVZ262257:LVZ262261 MFV262257:MFV262261 MPR262257:MPR262261 MZN262257:MZN262261 NJJ262257:NJJ262261 NTF262257:NTF262261 ODB262257:ODB262261 OMX262257:OMX262261 OWT262257:OWT262261 PGP262257:PGP262261 PQL262257:PQL262261 QAH262257:QAH262261 QKD262257:QKD262261 QTZ262257:QTZ262261 RDV262257:RDV262261 RNR262257:RNR262261 RXN262257:RXN262261 SHJ262257:SHJ262261 SRF262257:SRF262261 TBB262257:TBB262261 TKX262257:TKX262261 TUT262257:TUT262261 UEP262257:UEP262261 UOL262257:UOL262261 UYH262257:UYH262261 VID262257:VID262261 VRZ262257:VRZ262261 WBV262257:WBV262261 WLR262257:WLR262261 WVN262257:WVN262261 F327793:F327797 JB327793:JB327797 SX327793:SX327797 ACT327793:ACT327797 AMP327793:AMP327797 AWL327793:AWL327797 BGH327793:BGH327797 BQD327793:BQD327797 BZZ327793:BZZ327797 CJV327793:CJV327797 CTR327793:CTR327797 DDN327793:DDN327797 DNJ327793:DNJ327797 DXF327793:DXF327797 EHB327793:EHB327797 EQX327793:EQX327797 FAT327793:FAT327797 FKP327793:FKP327797 FUL327793:FUL327797 GEH327793:GEH327797 GOD327793:GOD327797 GXZ327793:GXZ327797 HHV327793:HHV327797 HRR327793:HRR327797 IBN327793:IBN327797 ILJ327793:ILJ327797 IVF327793:IVF327797 JFB327793:JFB327797 JOX327793:JOX327797 JYT327793:JYT327797 KIP327793:KIP327797 KSL327793:KSL327797 LCH327793:LCH327797 LMD327793:LMD327797 LVZ327793:LVZ327797 MFV327793:MFV327797 MPR327793:MPR327797 MZN327793:MZN327797 NJJ327793:NJJ327797 NTF327793:NTF327797 ODB327793:ODB327797 OMX327793:OMX327797 OWT327793:OWT327797 PGP327793:PGP327797 PQL327793:PQL327797 QAH327793:QAH327797 QKD327793:QKD327797 QTZ327793:QTZ327797 RDV327793:RDV327797 RNR327793:RNR327797 RXN327793:RXN327797 SHJ327793:SHJ327797 SRF327793:SRF327797 TBB327793:TBB327797 TKX327793:TKX327797 TUT327793:TUT327797 UEP327793:UEP327797 UOL327793:UOL327797 UYH327793:UYH327797 VID327793:VID327797 VRZ327793:VRZ327797 WBV327793:WBV327797 WLR327793:WLR327797 WVN327793:WVN327797 F393329:F393333 JB393329:JB393333 SX393329:SX393333 ACT393329:ACT393333 AMP393329:AMP393333 AWL393329:AWL393333 BGH393329:BGH393333 BQD393329:BQD393333 BZZ393329:BZZ393333 CJV393329:CJV393333 CTR393329:CTR393333 DDN393329:DDN393333 DNJ393329:DNJ393333 DXF393329:DXF393333 EHB393329:EHB393333 EQX393329:EQX393333 FAT393329:FAT393333 FKP393329:FKP393333 FUL393329:FUL393333 GEH393329:GEH393333 GOD393329:GOD393333 GXZ393329:GXZ393333 HHV393329:HHV393333 HRR393329:HRR393333 IBN393329:IBN393333 ILJ393329:ILJ393333 IVF393329:IVF393333 JFB393329:JFB393333 JOX393329:JOX393333 JYT393329:JYT393333 KIP393329:KIP393333 KSL393329:KSL393333 LCH393329:LCH393333 LMD393329:LMD393333 LVZ393329:LVZ393333 MFV393329:MFV393333 MPR393329:MPR393333 MZN393329:MZN393333 NJJ393329:NJJ393333 NTF393329:NTF393333 ODB393329:ODB393333 OMX393329:OMX393333 OWT393329:OWT393333 PGP393329:PGP393333 PQL393329:PQL393333 QAH393329:QAH393333 QKD393329:QKD393333 QTZ393329:QTZ393333 RDV393329:RDV393333 RNR393329:RNR393333 RXN393329:RXN393333 SHJ393329:SHJ393333 SRF393329:SRF393333 TBB393329:TBB393333 TKX393329:TKX393333 TUT393329:TUT393333 UEP393329:UEP393333 UOL393329:UOL393333 UYH393329:UYH393333 VID393329:VID393333 VRZ393329:VRZ393333 WBV393329:WBV393333 WLR393329:WLR393333 WVN393329:WVN393333 F458865:F458869 JB458865:JB458869 SX458865:SX458869 ACT458865:ACT458869 AMP458865:AMP458869 AWL458865:AWL458869 BGH458865:BGH458869 BQD458865:BQD458869 BZZ458865:BZZ458869 CJV458865:CJV458869 CTR458865:CTR458869 DDN458865:DDN458869 DNJ458865:DNJ458869 DXF458865:DXF458869 EHB458865:EHB458869 EQX458865:EQX458869 FAT458865:FAT458869 FKP458865:FKP458869 FUL458865:FUL458869 GEH458865:GEH458869 GOD458865:GOD458869 GXZ458865:GXZ458869 HHV458865:HHV458869 HRR458865:HRR458869 IBN458865:IBN458869 ILJ458865:ILJ458869 IVF458865:IVF458869 JFB458865:JFB458869 JOX458865:JOX458869 JYT458865:JYT458869 KIP458865:KIP458869 KSL458865:KSL458869 LCH458865:LCH458869 LMD458865:LMD458869 LVZ458865:LVZ458869 MFV458865:MFV458869 MPR458865:MPR458869 MZN458865:MZN458869 NJJ458865:NJJ458869 NTF458865:NTF458869 ODB458865:ODB458869 OMX458865:OMX458869 OWT458865:OWT458869 PGP458865:PGP458869 PQL458865:PQL458869 QAH458865:QAH458869 QKD458865:QKD458869 QTZ458865:QTZ458869 RDV458865:RDV458869 RNR458865:RNR458869 RXN458865:RXN458869 SHJ458865:SHJ458869 SRF458865:SRF458869 TBB458865:TBB458869 TKX458865:TKX458869 TUT458865:TUT458869 UEP458865:UEP458869 UOL458865:UOL458869 UYH458865:UYH458869 VID458865:VID458869 VRZ458865:VRZ458869 WBV458865:WBV458869 WLR458865:WLR458869 WVN458865:WVN458869 F524401:F524405 JB524401:JB524405 SX524401:SX524405 ACT524401:ACT524405 AMP524401:AMP524405 AWL524401:AWL524405 BGH524401:BGH524405 BQD524401:BQD524405 BZZ524401:BZZ524405 CJV524401:CJV524405 CTR524401:CTR524405 DDN524401:DDN524405 DNJ524401:DNJ524405 DXF524401:DXF524405 EHB524401:EHB524405 EQX524401:EQX524405 FAT524401:FAT524405 FKP524401:FKP524405 FUL524401:FUL524405 GEH524401:GEH524405 GOD524401:GOD524405 GXZ524401:GXZ524405 HHV524401:HHV524405 HRR524401:HRR524405 IBN524401:IBN524405 ILJ524401:ILJ524405 IVF524401:IVF524405 JFB524401:JFB524405 JOX524401:JOX524405 JYT524401:JYT524405 KIP524401:KIP524405 KSL524401:KSL524405 LCH524401:LCH524405 LMD524401:LMD524405 LVZ524401:LVZ524405 MFV524401:MFV524405 MPR524401:MPR524405 MZN524401:MZN524405 NJJ524401:NJJ524405 NTF524401:NTF524405 ODB524401:ODB524405 OMX524401:OMX524405 OWT524401:OWT524405 PGP524401:PGP524405 PQL524401:PQL524405 QAH524401:QAH524405 QKD524401:QKD524405 QTZ524401:QTZ524405 RDV524401:RDV524405 RNR524401:RNR524405 RXN524401:RXN524405 SHJ524401:SHJ524405 SRF524401:SRF524405 TBB524401:TBB524405 TKX524401:TKX524405 TUT524401:TUT524405 UEP524401:UEP524405 UOL524401:UOL524405 UYH524401:UYH524405 VID524401:VID524405 VRZ524401:VRZ524405 WBV524401:WBV524405 WLR524401:WLR524405 WVN524401:WVN524405 F589937:F589941 JB589937:JB589941 SX589937:SX589941 ACT589937:ACT589941 AMP589937:AMP589941 AWL589937:AWL589941 BGH589937:BGH589941 BQD589937:BQD589941 BZZ589937:BZZ589941 CJV589937:CJV589941 CTR589937:CTR589941 DDN589937:DDN589941 DNJ589937:DNJ589941 DXF589937:DXF589941 EHB589937:EHB589941 EQX589937:EQX589941 FAT589937:FAT589941 FKP589937:FKP589941 FUL589937:FUL589941 GEH589937:GEH589941 GOD589937:GOD589941 GXZ589937:GXZ589941 HHV589937:HHV589941 HRR589937:HRR589941 IBN589937:IBN589941 ILJ589937:ILJ589941 IVF589937:IVF589941 JFB589937:JFB589941 JOX589937:JOX589941 JYT589937:JYT589941 KIP589937:KIP589941 KSL589937:KSL589941 LCH589937:LCH589941 LMD589937:LMD589941 LVZ589937:LVZ589941 MFV589937:MFV589941 MPR589937:MPR589941 MZN589937:MZN589941 NJJ589937:NJJ589941 NTF589937:NTF589941 ODB589937:ODB589941 OMX589937:OMX589941 OWT589937:OWT589941 PGP589937:PGP589941 PQL589937:PQL589941 QAH589937:QAH589941 QKD589937:QKD589941 QTZ589937:QTZ589941 RDV589937:RDV589941 RNR589937:RNR589941 RXN589937:RXN589941 SHJ589937:SHJ589941 SRF589937:SRF589941 TBB589937:TBB589941 TKX589937:TKX589941 TUT589937:TUT589941 UEP589937:UEP589941 UOL589937:UOL589941 UYH589937:UYH589941 VID589937:VID589941 VRZ589937:VRZ589941 WBV589937:WBV589941 WLR589937:WLR589941 WVN589937:WVN589941 F655473:F655477 JB655473:JB655477 SX655473:SX655477 ACT655473:ACT655477 AMP655473:AMP655477 AWL655473:AWL655477 BGH655473:BGH655477 BQD655473:BQD655477 BZZ655473:BZZ655477 CJV655473:CJV655477 CTR655473:CTR655477 DDN655473:DDN655477 DNJ655473:DNJ655477 DXF655473:DXF655477 EHB655473:EHB655477 EQX655473:EQX655477 FAT655473:FAT655477 FKP655473:FKP655477 FUL655473:FUL655477 GEH655473:GEH655477 GOD655473:GOD655477 GXZ655473:GXZ655477 HHV655473:HHV655477 HRR655473:HRR655477 IBN655473:IBN655477 ILJ655473:ILJ655477 IVF655473:IVF655477 JFB655473:JFB655477 JOX655473:JOX655477 JYT655473:JYT655477 KIP655473:KIP655477 KSL655473:KSL655477 LCH655473:LCH655477 LMD655473:LMD655477 LVZ655473:LVZ655477 MFV655473:MFV655477 MPR655473:MPR655477 MZN655473:MZN655477 NJJ655473:NJJ655477 NTF655473:NTF655477 ODB655473:ODB655477 OMX655473:OMX655477 OWT655473:OWT655477 PGP655473:PGP655477 PQL655473:PQL655477 QAH655473:QAH655477 QKD655473:QKD655477 QTZ655473:QTZ655477 RDV655473:RDV655477 RNR655473:RNR655477 RXN655473:RXN655477 SHJ655473:SHJ655477 SRF655473:SRF655477 TBB655473:TBB655477 TKX655473:TKX655477 TUT655473:TUT655477 UEP655473:UEP655477 UOL655473:UOL655477 UYH655473:UYH655477 VID655473:VID655477 VRZ655473:VRZ655477 WBV655473:WBV655477 WLR655473:WLR655477 WVN655473:WVN655477 F721009:F721013 JB721009:JB721013 SX721009:SX721013 ACT721009:ACT721013 AMP721009:AMP721013 AWL721009:AWL721013 BGH721009:BGH721013 BQD721009:BQD721013 BZZ721009:BZZ721013 CJV721009:CJV721013 CTR721009:CTR721013 DDN721009:DDN721013 DNJ721009:DNJ721013 DXF721009:DXF721013 EHB721009:EHB721013 EQX721009:EQX721013 FAT721009:FAT721013 FKP721009:FKP721013 FUL721009:FUL721013 GEH721009:GEH721013 GOD721009:GOD721013 GXZ721009:GXZ721013 HHV721009:HHV721013 HRR721009:HRR721013 IBN721009:IBN721013 ILJ721009:ILJ721013 IVF721009:IVF721013 JFB721009:JFB721013 JOX721009:JOX721013 JYT721009:JYT721013 KIP721009:KIP721013 KSL721009:KSL721013 LCH721009:LCH721013 LMD721009:LMD721013 LVZ721009:LVZ721013 MFV721009:MFV721013 MPR721009:MPR721013 MZN721009:MZN721013 NJJ721009:NJJ721013 NTF721009:NTF721013 ODB721009:ODB721013 OMX721009:OMX721013 OWT721009:OWT721013 PGP721009:PGP721013 PQL721009:PQL721013 QAH721009:QAH721013 QKD721009:QKD721013 QTZ721009:QTZ721013 RDV721009:RDV721013 RNR721009:RNR721013 RXN721009:RXN721013 SHJ721009:SHJ721013 SRF721009:SRF721013 TBB721009:TBB721013 TKX721009:TKX721013 TUT721009:TUT721013 UEP721009:UEP721013 UOL721009:UOL721013 UYH721009:UYH721013 VID721009:VID721013 VRZ721009:VRZ721013 WBV721009:WBV721013 WLR721009:WLR721013 WVN721009:WVN721013 F786545:F786549 JB786545:JB786549 SX786545:SX786549 ACT786545:ACT786549 AMP786545:AMP786549 AWL786545:AWL786549 BGH786545:BGH786549 BQD786545:BQD786549 BZZ786545:BZZ786549 CJV786545:CJV786549 CTR786545:CTR786549 DDN786545:DDN786549 DNJ786545:DNJ786549 DXF786545:DXF786549 EHB786545:EHB786549 EQX786545:EQX786549 FAT786545:FAT786549 FKP786545:FKP786549 FUL786545:FUL786549 GEH786545:GEH786549 GOD786545:GOD786549 GXZ786545:GXZ786549 HHV786545:HHV786549 HRR786545:HRR786549 IBN786545:IBN786549 ILJ786545:ILJ786549 IVF786545:IVF786549 JFB786545:JFB786549 JOX786545:JOX786549 JYT786545:JYT786549 KIP786545:KIP786549 KSL786545:KSL786549 LCH786545:LCH786549 LMD786545:LMD786549 LVZ786545:LVZ786549 MFV786545:MFV786549 MPR786545:MPR786549 MZN786545:MZN786549 NJJ786545:NJJ786549 NTF786545:NTF786549 ODB786545:ODB786549 OMX786545:OMX786549 OWT786545:OWT786549 PGP786545:PGP786549 PQL786545:PQL786549 QAH786545:QAH786549 QKD786545:QKD786549 QTZ786545:QTZ786549 RDV786545:RDV786549 RNR786545:RNR786549 RXN786545:RXN786549 SHJ786545:SHJ786549 SRF786545:SRF786549 TBB786545:TBB786549 TKX786545:TKX786549 TUT786545:TUT786549 UEP786545:UEP786549 UOL786545:UOL786549 UYH786545:UYH786549 VID786545:VID786549 VRZ786545:VRZ786549 WBV786545:WBV786549 WLR786545:WLR786549 WVN786545:WVN786549 F852081:F852085 JB852081:JB852085 SX852081:SX852085 ACT852081:ACT852085 AMP852081:AMP852085 AWL852081:AWL852085 BGH852081:BGH852085 BQD852081:BQD852085 BZZ852081:BZZ852085 CJV852081:CJV852085 CTR852081:CTR852085 DDN852081:DDN852085 DNJ852081:DNJ852085 DXF852081:DXF852085 EHB852081:EHB852085 EQX852081:EQX852085 FAT852081:FAT852085 FKP852081:FKP852085 FUL852081:FUL852085 GEH852081:GEH852085 GOD852081:GOD852085 GXZ852081:GXZ852085 HHV852081:HHV852085 HRR852081:HRR852085 IBN852081:IBN852085 ILJ852081:ILJ852085 IVF852081:IVF852085 JFB852081:JFB852085 JOX852081:JOX852085 JYT852081:JYT852085 KIP852081:KIP852085 KSL852081:KSL852085 LCH852081:LCH852085 LMD852081:LMD852085 LVZ852081:LVZ852085 MFV852081:MFV852085 MPR852081:MPR852085 MZN852081:MZN852085 NJJ852081:NJJ852085 NTF852081:NTF852085 ODB852081:ODB852085 OMX852081:OMX852085 OWT852081:OWT852085 PGP852081:PGP852085 PQL852081:PQL852085 QAH852081:QAH852085 QKD852081:QKD852085 QTZ852081:QTZ852085 RDV852081:RDV852085 RNR852081:RNR852085 RXN852081:RXN852085 SHJ852081:SHJ852085 SRF852081:SRF852085 TBB852081:TBB852085 TKX852081:TKX852085 TUT852081:TUT852085 UEP852081:UEP852085 UOL852081:UOL852085 UYH852081:UYH852085 VID852081:VID852085 VRZ852081:VRZ852085 WBV852081:WBV852085 WLR852081:WLR852085 WVN852081:WVN852085 F917617:F917621 JB917617:JB917621 SX917617:SX917621 ACT917617:ACT917621 AMP917617:AMP917621 AWL917617:AWL917621 BGH917617:BGH917621 BQD917617:BQD917621 BZZ917617:BZZ917621 CJV917617:CJV917621 CTR917617:CTR917621 DDN917617:DDN917621 DNJ917617:DNJ917621 DXF917617:DXF917621 EHB917617:EHB917621 EQX917617:EQX917621 FAT917617:FAT917621 FKP917617:FKP917621 FUL917617:FUL917621 GEH917617:GEH917621 GOD917617:GOD917621 GXZ917617:GXZ917621 HHV917617:HHV917621 HRR917617:HRR917621 IBN917617:IBN917621 ILJ917617:ILJ917621 IVF917617:IVF917621 JFB917617:JFB917621 JOX917617:JOX917621 JYT917617:JYT917621 KIP917617:KIP917621 KSL917617:KSL917621 LCH917617:LCH917621 LMD917617:LMD917621 LVZ917617:LVZ917621 MFV917617:MFV917621 MPR917617:MPR917621 MZN917617:MZN917621 NJJ917617:NJJ917621 NTF917617:NTF917621 ODB917617:ODB917621 OMX917617:OMX917621 OWT917617:OWT917621 PGP917617:PGP917621 PQL917617:PQL917621 QAH917617:QAH917621 QKD917617:QKD917621 QTZ917617:QTZ917621 RDV917617:RDV917621 RNR917617:RNR917621 RXN917617:RXN917621 SHJ917617:SHJ917621 SRF917617:SRF917621 TBB917617:TBB917621 TKX917617:TKX917621 TUT917617:TUT917621 UEP917617:UEP917621 UOL917617:UOL917621 UYH917617:UYH917621 VID917617:VID917621 VRZ917617:VRZ917621 WBV917617:WBV917621 WLR917617:WLR917621 WVN917617:WVN917621 F983153:F983157 JB983153:JB983157 SX983153:SX983157 ACT983153:ACT983157 AMP983153:AMP983157 AWL983153:AWL983157 BGH983153:BGH983157 BQD983153:BQD983157 BZZ983153:BZZ983157 CJV983153:CJV983157 CTR983153:CTR983157 DDN983153:DDN983157 DNJ983153:DNJ983157 DXF983153:DXF983157 EHB983153:EHB983157 EQX983153:EQX983157 FAT983153:FAT983157 FKP983153:FKP983157 FUL983153:FUL983157 GEH983153:GEH983157 GOD983153:GOD983157 GXZ983153:GXZ983157 HHV983153:HHV983157 HRR983153:HRR983157 IBN983153:IBN983157 ILJ983153:ILJ983157 IVF983153:IVF983157 JFB983153:JFB983157 JOX983153:JOX983157 JYT983153:JYT983157 KIP983153:KIP983157 KSL983153:KSL983157 LCH983153:LCH983157 LMD983153:LMD983157 LVZ983153:LVZ983157 MFV983153:MFV983157 MPR983153:MPR983157 MZN983153:MZN983157 NJJ983153:NJJ983157 NTF983153:NTF983157 ODB983153:ODB983157 OMX983153:OMX983157 OWT983153:OWT983157 PGP983153:PGP983157 PQL983153:PQL983157 QAH983153:QAH983157 QKD983153:QKD983157 QTZ983153:QTZ983157 RDV983153:RDV983157 RNR983153:RNR983157 RXN983153:RXN983157 SHJ983153:SHJ983157 SRF983153:SRF983157 TBB983153:TBB983157 TKX983153:TKX983157 TUT983153:TUT983157 UEP983153:UEP983157 UOL983153:UOL983157 UYH983153:UYH983157 VID983153:VID983157 VRZ983153:VRZ983157 WBV983153:WBV983157 WLR983153:WLR983157 WVN983153:WVN983157 BGY105:BGY107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JS105:JS107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WLT107 WVP107 H65643 JD65643 SZ65643 ACV65643 AMR65643 AWN65643 BGJ65643 BQF65643 CAB65643 CJX65643 CTT65643 DDP65643 DNL65643 DXH65643 EHD65643 EQZ65643 FAV65643 FKR65643 FUN65643 GEJ65643 GOF65643 GYB65643 HHX65643 HRT65643 IBP65643 ILL65643 IVH65643 JFD65643 JOZ65643 JYV65643 KIR65643 KSN65643 LCJ65643 LMF65643 LWB65643 MFX65643 MPT65643 MZP65643 NJL65643 NTH65643 ODD65643 OMZ65643 OWV65643 PGR65643 PQN65643 QAJ65643 QKF65643 QUB65643 RDX65643 RNT65643 RXP65643 SHL65643 SRH65643 TBD65643 TKZ65643 TUV65643 UER65643 UON65643 UYJ65643 VIF65643 VSB65643 WBX65643 WLT65643 WVP65643 H131179 JD131179 SZ131179 ACV131179 AMR131179 AWN131179 BGJ131179 BQF131179 CAB131179 CJX131179 CTT131179 DDP131179 DNL131179 DXH131179 EHD131179 EQZ131179 FAV131179 FKR131179 FUN131179 GEJ131179 GOF131179 GYB131179 HHX131179 HRT131179 IBP131179 ILL131179 IVH131179 JFD131179 JOZ131179 JYV131179 KIR131179 KSN131179 LCJ131179 LMF131179 LWB131179 MFX131179 MPT131179 MZP131179 NJL131179 NTH131179 ODD131179 OMZ131179 OWV131179 PGR131179 PQN131179 QAJ131179 QKF131179 QUB131179 RDX131179 RNT131179 RXP131179 SHL131179 SRH131179 TBD131179 TKZ131179 TUV131179 UER131179 UON131179 UYJ131179 VIF131179 VSB131179 WBX131179 WLT131179 WVP131179 H196715 JD196715 SZ196715 ACV196715 AMR196715 AWN196715 BGJ196715 BQF196715 CAB196715 CJX196715 CTT196715 DDP196715 DNL196715 DXH196715 EHD196715 EQZ196715 FAV196715 FKR196715 FUN196715 GEJ196715 GOF196715 GYB196715 HHX196715 HRT196715 IBP196715 ILL196715 IVH196715 JFD196715 JOZ196715 JYV196715 KIR196715 KSN196715 LCJ196715 LMF196715 LWB196715 MFX196715 MPT196715 MZP196715 NJL196715 NTH196715 ODD196715 OMZ196715 OWV196715 PGR196715 PQN196715 QAJ196715 QKF196715 QUB196715 RDX196715 RNT196715 RXP196715 SHL196715 SRH196715 TBD196715 TKZ196715 TUV196715 UER196715 UON196715 UYJ196715 VIF196715 VSB196715 WBX196715 WLT196715 WVP196715 H262251 JD262251 SZ262251 ACV262251 AMR262251 AWN262251 BGJ262251 BQF262251 CAB262251 CJX262251 CTT262251 DDP262251 DNL262251 DXH262251 EHD262251 EQZ262251 FAV262251 FKR262251 FUN262251 GEJ262251 GOF262251 GYB262251 HHX262251 HRT262251 IBP262251 ILL262251 IVH262251 JFD262251 JOZ262251 JYV262251 KIR262251 KSN262251 LCJ262251 LMF262251 LWB262251 MFX262251 MPT262251 MZP262251 NJL262251 NTH262251 ODD262251 OMZ262251 OWV262251 PGR262251 PQN262251 QAJ262251 QKF262251 QUB262251 RDX262251 RNT262251 RXP262251 SHL262251 SRH262251 TBD262251 TKZ262251 TUV262251 UER262251 UON262251 UYJ262251 VIF262251 VSB262251 WBX262251 WLT262251 WVP262251 H327787 JD327787 SZ327787 ACV327787 AMR327787 AWN327787 BGJ327787 BQF327787 CAB327787 CJX327787 CTT327787 DDP327787 DNL327787 DXH327787 EHD327787 EQZ327787 FAV327787 FKR327787 FUN327787 GEJ327787 GOF327787 GYB327787 HHX327787 HRT327787 IBP327787 ILL327787 IVH327787 JFD327787 JOZ327787 JYV327787 KIR327787 KSN327787 LCJ327787 LMF327787 LWB327787 MFX327787 MPT327787 MZP327787 NJL327787 NTH327787 ODD327787 OMZ327787 OWV327787 PGR327787 PQN327787 QAJ327787 QKF327787 QUB327787 RDX327787 RNT327787 RXP327787 SHL327787 SRH327787 TBD327787 TKZ327787 TUV327787 UER327787 UON327787 UYJ327787 VIF327787 VSB327787 WBX327787 WLT327787 WVP327787 H393323 JD393323 SZ393323 ACV393323 AMR393323 AWN393323 BGJ393323 BQF393323 CAB393323 CJX393323 CTT393323 DDP393323 DNL393323 DXH393323 EHD393323 EQZ393323 FAV393323 FKR393323 FUN393323 GEJ393323 GOF393323 GYB393323 HHX393323 HRT393323 IBP393323 ILL393323 IVH393323 JFD393323 JOZ393323 JYV393323 KIR393323 KSN393323 LCJ393323 LMF393323 LWB393323 MFX393323 MPT393323 MZP393323 NJL393323 NTH393323 ODD393323 OMZ393323 OWV393323 PGR393323 PQN393323 QAJ393323 QKF393323 QUB393323 RDX393323 RNT393323 RXP393323 SHL393323 SRH393323 TBD393323 TKZ393323 TUV393323 UER393323 UON393323 UYJ393323 VIF393323 VSB393323 WBX393323 WLT393323 WVP393323 H458859 JD458859 SZ458859 ACV458859 AMR458859 AWN458859 BGJ458859 BQF458859 CAB458859 CJX458859 CTT458859 DDP458859 DNL458859 DXH458859 EHD458859 EQZ458859 FAV458859 FKR458859 FUN458859 GEJ458859 GOF458859 GYB458859 HHX458859 HRT458859 IBP458859 ILL458859 IVH458859 JFD458859 JOZ458859 JYV458859 KIR458859 KSN458859 LCJ458859 LMF458859 LWB458859 MFX458859 MPT458859 MZP458859 NJL458859 NTH458859 ODD458859 OMZ458859 OWV458859 PGR458859 PQN458859 QAJ458859 QKF458859 QUB458859 RDX458859 RNT458859 RXP458859 SHL458859 SRH458859 TBD458859 TKZ458859 TUV458859 UER458859 UON458859 UYJ458859 VIF458859 VSB458859 WBX458859 WLT458859 WVP458859 H524395 JD524395 SZ524395 ACV524395 AMR524395 AWN524395 BGJ524395 BQF524395 CAB524395 CJX524395 CTT524395 DDP524395 DNL524395 DXH524395 EHD524395 EQZ524395 FAV524395 FKR524395 FUN524395 GEJ524395 GOF524395 GYB524395 HHX524395 HRT524395 IBP524395 ILL524395 IVH524395 JFD524395 JOZ524395 JYV524395 KIR524395 KSN524395 LCJ524395 LMF524395 LWB524395 MFX524395 MPT524395 MZP524395 NJL524395 NTH524395 ODD524395 OMZ524395 OWV524395 PGR524395 PQN524395 QAJ524395 QKF524395 QUB524395 RDX524395 RNT524395 RXP524395 SHL524395 SRH524395 TBD524395 TKZ524395 TUV524395 UER524395 UON524395 UYJ524395 VIF524395 VSB524395 WBX524395 WLT524395 WVP524395 H589931 JD589931 SZ589931 ACV589931 AMR589931 AWN589931 BGJ589931 BQF589931 CAB589931 CJX589931 CTT589931 DDP589931 DNL589931 DXH589931 EHD589931 EQZ589931 FAV589931 FKR589931 FUN589931 GEJ589931 GOF589931 GYB589931 HHX589931 HRT589931 IBP589931 ILL589931 IVH589931 JFD589931 JOZ589931 JYV589931 KIR589931 KSN589931 LCJ589931 LMF589931 LWB589931 MFX589931 MPT589931 MZP589931 NJL589931 NTH589931 ODD589931 OMZ589931 OWV589931 PGR589931 PQN589931 QAJ589931 QKF589931 QUB589931 RDX589931 RNT589931 RXP589931 SHL589931 SRH589931 TBD589931 TKZ589931 TUV589931 UER589931 UON589931 UYJ589931 VIF589931 VSB589931 WBX589931 WLT589931 WVP589931 H655467 JD655467 SZ655467 ACV655467 AMR655467 AWN655467 BGJ655467 BQF655467 CAB655467 CJX655467 CTT655467 DDP655467 DNL655467 DXH655467 EHD655467 EQZ655467 FAV655467 FKR655467 FUN655467 GEJ655467 GOF655467 GYB655467 HHX655467 HRT655467 IBP655467 ILL655467 IVH655467 JFD655467 JOZ655467 JYV655467 KIR655467 KSN655467 LCJ655467 LMF655467 LWB655467 MFX655467 MPT655467 MZP655467 NJL655467 NTH655467 ODD655467 OMZ655467 OWV655467 PGR655467 PQN655467 QAJ655467 QKF655467 QUB655467 RDX655467 RNT655467 RXP655467 SHL655467 SRH655467 TBD655467 TKZ655467 TUV655467 UER655467 UON655467 UYJ655467 VIF655467 VSB655467 WBX655467 WLT655467 WVP655467 H721003 JD721003 SZ721003 ACV721003 AMR721003 AWN721003 BGJ721003 BQF721003 CAB721003 CJX721003 CTT721003 DDP721003 DNL721003 DXH721003 EHD721003 EQZ721003 FAV721003 FKR721003 FUN721003 GEJ721003 GOF721003 GYB721003 HHX721003 HRT721003 IBP721003 ILL721003 IVH721003 JFD721003 JOZ721003 JYV721003 KIR721003 KSN721003 LCJ721003 LMF721003 LWB721003 MFX721003 MPT721003 MZP721003 NJL721003 NTH721003 ODD721003 OMZ721003 OWV721003 PGR721003 PQN721003 QAJ721003 QKF721003 QUB721003 RDX721003 RNT721003 RXP721003 SHL721003 SRH721003 TBD721003 TKZ721003 TUV721003 UER721003 UON721003 UYJ721003 VIF721003 VSB721003 WBX721003 WLT721003 WVP721003 H786539 JD786539 SZ786539 ACV786539 AMR786539 AWN786539 BGJ786539 BQF786539 CAB786539 CJX786539 CTT786539 DDP786539 DNL786539 DXH786539 EHD786539 EQZ786539 FAV786539 FKR786539 FUN786539 GEJ786539 GOF786539 GYB786539 HHX786539 HRT786539 IBP786539 ILL786539 IVH786539 JFD786539 JOZ786539 JYV786539 KIR786539 KSN786539 LCJ786539 LMF786539 LWB786539 MFX786539 MPT786539 MZP786539 NJL786539 NTH786539 ODD786539 OMZ786539 OWV786539 PGR786539 PQN786539 QAJ786539 QKF786539 QUB786539 RDX786539 RNT786539 RXP786539 SHL786539 SRH786539 TBD786539 TKZ786539 TUV786539 UER786539 UON786539 UYJ786539 VIF786539 VSB786539 WBX786539 WLT786539 WVP786539 H852075 JD852075 SZ852075 ACV852075 AMR852075 AWN852075 BGJ852075 BQF852075 CAB852075 CJX852075 CTT852075 DDP852075 DNL852075 DXH852075 EHD852075 EQZ852075 FAV852075 FKR852075 FUN852075 GEJ852075 GOF852075 GYB852075 HHX852075 HRT852075 IBP852075 ILL852075 IVH852075 JFD852075 JOZ852075 JYV852075 KIR852075 KSN852075 LCJ852075 LMF852075 LWB852075 MFX852075 MPT852075 MZP852075 NJL852075 NTH852075 ODD852075 OMZ852075 OWV852075 PGR852075 PQN852075 QAJ852075 QKF852075 QUB852075 RDX852075 RNT852075 RXP852075 SHL852075 SRH852075 TBD852075 TKZ852075 TUV852075 UER852075 UON852075 UYJ852075 VIF852075 VSB852075 WBX852075 WLT852075 WVP852075 H917611 JD917611 SZ917611 ACV917611 AMR917611 AWN917611 BGJ917611 BQF917611 CAB917611 CJX917611 CTT917611 DDP917611 DNL917611 DXH917611 EHD917611 EQZ917611 FAV917611 FKR917611 FUN917611 GEJ917611 GOF917611 GYB917611 HHX917611 HRT917611 IBP917611 ILL917611 IVH917611 JFD917611 JOZ917611 JYV917611 KIR917611 KSN917611 LCJ917611 LMF917611 LWB917611 MFX917611 MPT917611 MZP917611 NJL917611 NTH917611 ODD917611 OMZ917611 OWV917611 PGR917611 PQN917611 QAJ917611 QKF917611 QUB917611 RDX917611 RNT917611 RXP917611 SHL917611 SRH917611 TBD917611 TKZ917611 TUV917611 UER917611 UON917611 UYJ917611 VIF917611 VSB917611 WBX917611 WLT917611 WVP917611 H983147 JD983147 SZ983147 ACV983147 AMR983147 AWN983147 BGJ983147 BQF983147 CAB983147 CJX983147 CTT983147 DDP983147 DNL983147 DXH983147 EHD983147 EQZ983147 FAV983147 FKR983147 FUN983147 GEJ983147 GOF983147 GYB983147 HHX983147 HRT983147 IBP983147 ILL983147 IVH983147 JFD983147 JOZ983147 JYV983147 KIR983147 KSN983147 LCJ983147 LMF983147 LWB983147 MFX983147 MPT983147 MZP983147 NJL983147 NTH983147 ODD983147 OMZ983147 OWV983147 PGR983147 PQN983147 QAJ983147 QKF983147 QUB983147 RDX983147 RNT983147 RXP983147 SHL983147 SRH983147 TBD983147 TKZ983147 TUV983147 UER983147 UON983147 UYJ983147 VIF983147 VSB983147 WBX983147 WLT983147 WVP983147 CKM105:CKM107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P65656 JL65656 TH65656 ADD65656 AMZ65656 AWV65656 BGR65656 BQN65656 CAJ65656 CKF65656 CUB65656 DDX65656 DNT65656 DXP65656 EHL65656 ERH65656 FBD65656 FKZ65656 FUV65656 GER65656 GON65656 GYJ65656 HIF65656 HSB65656 IBX65656 ILT65656 IVP65656 JFL65656 JPH65656 JZD65656 KIZ65656 KSV65656 LCR65656 LMN65656 LWJ65656 MGF65656 MQB65656 MZX65656 NJT65656 NTP65656 ODL65656 ONH65656 OXD65656 PGZ65656 PQV65656 QAR65656 QKN65656 QUJ65656 REF65656 ROB65656 RXX65656 SHT65656 SRP65656 TBL65656 TLH65656 TVD65656 UEZ65656 UOV65656 UYR65656 VIN65656 VSJ65656 WCF65656 WMB65656 WVX65656 P131192 JL131192 TH131192 ADD131192 AMZ131192 AWV131192 BGR131192 BQN131192 CAJ131192 CKF131192 CUB131192 DDX131192 DNT131192 DXP131192 EHL131192 ERH131192 FBD131192 FKZ131192 FUV131192 GER131192 GON131192 GYJ131192 HIF131192 HSB131192 IBX131192 ILT131192 IVP131192 JFL131192 JPH131192 JZD131192 KIZ131192 KSV131192 LCR131192 LMN131192 LWJ131192 MGF131192 MQB131192 MZX131192 NJT131192 NTP131192 ODL131192 ONH131192 OXD131192 PGZ131192 PQV131192 QAR131192 QKN131192 QUJ131192 REF131192 ROB131192 RXX131192 SHT131192 SRP131192 TBL131192 TLH131192 TVD131192 UEZ131192 UOV131192 UYR131192 VIN131192 VSJ131192 WCF131192 WMB131192 WVX131192 P196728 JL196728 TH196728 ADD196728 AMZ196728 AWV196728 BGR196728 BQN196728 CAJ196728 CKF196728 CUB196728 DDX196728 DNT196728 DXP196728 EHL196728 ERH196728 FBD196728 FKZ196728 FUV196728 GER196728 GON196728 GYJ196728 HIF196728 HSB196728 IBX196728 ILT196728 IVP196728 JFL196728 JPH196728 JZD196728 KIZ196728 KSV196728 LCR196728 LMN196728 LWJ196728 MGF196728 MQB196728 MZX196728 NJT196728 NTP196728 ODL196728 ONH196728 OXD196728 PGZ196728 PQV196728 QAR196728 QKN196728 QUJ196728 REF196728 ROB196728 RXX196728 SHT196728 SRP196728 TBL196728 TLH196728 TVD196728 UEZ196728 UOV196728 UYR196728 VIN196728 VSJ196728 WCF196728 WMB196728 WVX196728 P262264 JL262264 TH262264 ADD262264 AMZ262264 AWV262264 BGR262264 BQN262264 CAJ262264 CKF262264 CUB262264 DDX262264 DNT262264 DXP262264 EHL262264 ERH262264 FBD262264 FKZ262264 FUV262264 GER262264 GON262264 GYJ262264 HIF262264 HSB262264 IBX262264 ILT262264 IVP262264 JFL262264 JPH262264 JZD262264 KIZ262264 KSV262264 LCR262264 LMN262264 LWJ262264 MGF262264 MQB262264 MZX262264 NJT262264 NTP262264 ODL262264 ONH262264 OXD262264 PGZ262264 PQV262264 QAR262264 QKN262264 QUJ262264 REF262264 ROB262264 RXX262264 SHT262264 SRP262264 TBL262264 TLH262264 TVD262264 UEZ262264 UOV262264 UYR262264 VIN262264 VSJ262264 WCF262264 WMB262264 WVX262264 P327800 JL327800 TH327800 ADD327800 AMZ327800 AWV327800 BGR327800 BQN327800 CAJ327800 CKF327800 CUB327800 DDX327800 DNT327800 DXP327800 EHL327800 ERH327800 FBD327800 FKZ327800 FUV327800 GER327800 GON327800 GYJ327800 HIF327800 HSB327800 IBX327800 ILT327800 IVP327800 JFL327800 JPH327800 JZD327800 KIZ327800 KSV327800 LCR327800 LMN327800 LWJ327800 MGF327800 MQB327800 MZX327800 NJT327800 NTP327800 ODL327800 ONH327800 OXD327800 PGZ327800 PQV327800 QAR327800 QKN327800 QUJ327800 REF327800 ROB327800 RXX327800 SHT327800 SRP327800 TBL327800 TLH327800 TVD327800 UEZ327800 UOV327800 UYR327800 VIN327800 VSJ327800 WCF327800 WMB327800 WVX327800 P393336 JL393336 TH393336 ADD393336 AMZ393336 AWV393336 BGR393336 BQN393336 CAJ393336 CKF393336 CUB393336 DDX393336 DNT393336 DXP393336 EHL393336 ERH393336 FBD393336 FKZ393336 FUV393336 GER393336 GON393336 GYJ393336 HIF393336 HSB393336 IBX393336 ILT393336 IVP393336 JFL393336 JPH393336 JZD393336 KIZ393336 KSV393336 LCR393336 LMN393336 LWJ393336 MGF393336 MQB393336 MZX393336 NJT393336 NTP393336 ODL393336 ONH393336 OXD393336 PGZ393336 PQV393336 QAR393336 QKN393336 QUJ393336 REF393336 ROB393336 RXX393336 SHT393336 SRP393336 TBL393336 TLH393336 TVD393336 UEZ393336 UOV393336 UYR393336 VIN393336 VSJ393336 WCF393336 WMB393336 WVX393336 P458872 JL458872 TH458872 ADD458872 AMZ458872 AWV458872 BGR458872 BQN458872 CAJ458872 CKF458872 CUB458872 DDX458872 DNT458872 DXP458872 EHL458872 ERH458872 FBD458872 FKZ458872 FUV458872 GER458872 GON458872 GYJ458872 HIF458872 HSB458872 IBX458872 ILT458872 IVP458872 JFL458872 JPH458872 JZD458872 KIZ458872 KSV458872 LCR458872 LMN458872 LWJ458872 MGF458872 MQB458872 MZX458872 NJT458872 NTP458872 ODL458872 ONH458872 OXD458872 PGZ458872 PQV458872 QAR458872 QKN458872 QUJ458872 REF458872 ROB458872 RXX458872 SHT458872 SRP458872 TBL458872 TLH458872 TVD458872 UEZ458872 UOV458872 UYR458872 VIN458872 VSJ458872 WCF458872 WMB458872 WVX458872 P524408 JL524408 TH524408 ADD524408 AMZ524408 AWV524408 BGR524408 BQN524408 CAJ524408 CKF524408 CUB524408 DDX524408 DNT524408 DXP524408 EHL524408 ERH524408 FBD524408 FKZ524408 FUV524408 GER524408 GON524408 GYJ524408 HIF524408 HSB524408 IBX524408 ILT524408 IVP524408 JFL524408 JPH524408 JZD524408 KIZ524408 KSV524408 LCR524408 LMN524408 LWJ524408 MGF524408 MQB524408 MZX524408 NJT524408 NTP524408 ODL524408 ONH524408 OXD524408 PGZ524408 PQV524408 QAR524408 QKN524408 QUJ524408 REF524408 ROB524408 RXX524408 SHT524408 SRP524408 TBL524408 TLH524408 TVD524408 UEZ524408 UOV524408 UYR524408 VIN524408 VSJ524408 WCF524408 WMB524408 WVX524408 P589944 JL589944 TH589944 ADD589944 AMZ589944 AWV589944 BGR589944 BQN589944 CAJ589944 CKF589944 CUB589944 DDX589944 DNT589944 DXP589944 EHL589944 ERH589944 FBD589944 FKZ589944 FUV589944 GER589944 GON589944 GYJ589944 HIF589944 HSB589944 IBX589944 ILT589944 IVP589944 JFL589944 JPH589944 JZD589944 KIZ589944 KSV589944 LCR589944 LMN589944 LWJ589944 MGF589944 MQB589944 MZX589944 NJT589944 NTP589944 ODL589944 ONH589944 OXD589944 PGZ589944 PQV589944 QAR589944 QKN589944 QUJ589944 REF589944 ROB589944 RXX589944 SHT589944 SRP589944 TBL589944 TLH589944 TVD589944 UEZ589944 UOV589944 UYR589944 VIN589944 VSJ589944 WCF589944 WMB589944 WVX589944 P655480 JL655480 TH655480 ADD655480 AMZ655480 AWV655480 BGR655480 BQN655480 CAJ655480 CKF655480 CUB655480 DDX655480 DNT655480 DXP655480 EHL655480 ERH655480 FBD655480 FKZ655480 FUV655480 GER655480 GON655480 GYJ655480 HIF655480 HSB655480 IBX655480 ILT655480 IVP655480 JFL655480 JPH655480 JZD655480 KIZ655480 KSV655480 LCR655480 LMN655480 LWJ655480 MGF655480 MQB655480 MZX655480 NJT655480 NTP655480 ODL655480 ONH655480 OXD655480 PGZ655480 PQV655480 QAR655480 QKN655480 QUJ655480 REF655480 ROB655480 RXX655480 SHT655480 SRP655480 TBL655480 TLH655480 TVD655480 UEZ655480 UOV655480 UYR655480 VIN655480 VSJ655480 WCF655480 WMB655480 WVX655480 P721016 JL721016 TH721016 ADD721016 AMZ721016 AWV721016 BGR721016 BQN721016 CAJ721016 CKF721016 CUB721016 DDX721016 DNT721016 DXP721016 EHL721016 ERH721016 FBD721016 FKZ721016 FUV721016 GER721016 GON721016 GYJ721016 HIF721016 HSB721016 IBX721016 ILT721016 IVP721016 JFL721016 JPH721016 JZD721016 KIZ721016 KSV721016 LCR721016 LMN721016 LWJ721016 MGF721016 MQB721016 MZX721016 NJT721016 NTP721016 ODL721016 ONH721016 OXD721016 PGZ721016 PQV721016 QAR721016 QKN721016 QUJ721016 REF721016 ROB721016 RXX721016 SHT721016 SRP721016 TBL721016 TLH721016 TVD721016 UEZ721016 UOV721016 UYR721016 VIN721016 VSJ721016 WCF721016 WMB721016 WVX721016 P786552 JL786552 TH786552 ADD786552 AMZ786552 AWV786552 BGR786552 BQN786552 CAJ786552 CKF786552 CUB786552 DDX786552 DNT786552 DXP786552 EHL786552 ERH786552 FBD786552 FKZ786552 FUV786552 GER786552 GON786552 GYJ786552 HIF786552 HSB786552 IBX786552 ILT786552 IVP786552 JFL786552 JPH786552 JZD786552 KIZ786552 KSV786552 LCR786552 LMN786552 LWJ786552 MGF786552 MQB786552 MZX786552 NJT786552 NTP786552 ODL786552 ONH786552 OXD786552 PGZ786552 PQV786552 QAR786552 QKN786552 QUJ786552 REF786552 ROB786552 RXX786552 SHT786552 SRP786552 TBL786552 TLH786552 TVD786552 UEZ786552 UOV786552 UYR786552 VIN786552 VSJ786552 WCF786552 WMB786552 WVX786552 P852088 JL852088 TH852088 ADD852088 AMZ852088 AWV852088 BGR852088 BQN852088 CAJ852088 CKF852088 CUB852088 DDX852088 DNT852088 DXP852088 EHL852088 ERH852088 FBD852088 FKZ852088 FUV852088 GER852088 GON852088 GYJ852088 HIF852088 HSB852088 IBX852088 ILT852088 IVP852088 JFL852088 JPH852088 JZD852088 KIZ852088 KSV852088 LCR852088 LMN852088 LWJ852088 MGF852088 MQB852088 MZX852088 NJT852088 NTP852088 ODL852088 ONH852088 OXD852088 PGZ852088 PQV852088 QAR852088 QKN852088 QUJ852088 REF852088 ROB852088 RXX852088 SHT852088 SRP852088 TBL852088 TLH852088 TVD852088 UEZ852088 UOV852088 UYR852088 VIN852088 VSJ852088 WCF852088 WMB852088 WVX852088 P917624 JL917624 TH917624 ADD917624 AMZ917624 AWV917624 BGR917624 BQN917624 CAJ917624 CKF917624 CUB917624 DDX917624 DNT917624 DXP917624 EHL917624 ERH917624 FBD917624 FKZ917624 FUV917624 GER917624 GON917624 GYJ917624 HIF917624 HSB917624 IBX917624 ILT917624 IVP917624 JFL917624 JPH917624 JZD917624 KIZ917624 KSV917624 LCR917624 LMN917624 LWJ917624 MGF917624 MQB917624 MZX917624 NJT917624 NTP917624 ODL917624 ONH917624 OXD917624 PGZ917624 PQV917624 QAR917624 QKN917624 QUJ917624 REF917624 ROB917624 RXX917624 SHT917624 SRP917624 TBL917624 TLH917624 TVD917624 UEZ917624 UOV917624 UYR917624 VIN917624 VSJ917624 WCF917624 WMB917624 WVX917624 P983160 JL983160 TH983160 ADD983160 AMZ983160 AWV983160 BGR983160 BQN983160 CAJ983160 CKF983160 CUB983160 DDX983160 DNT983160 DXP983160 EHL983160 ERH983160 FBD983160 FKZ983160 FUV983160 GER983160 GON983160 GYJ983160 HIF983160 HSB983160 IBX983160 ILT983160 IVP983160 JFL983160 JPH983160 JZD983160 KIZ983160 KSV983160 LCR983160 LMN983160 LWJ983160 MGF983160 MQB983160 MZX983160 NJT983160 NTP983160 ODL983160 ONH983160 OXD983160 PGZ983160 PQV983160 QAR983160 QKN983160 QUJ983160 REF983160 ROB983160 RXX983160 SHT983160 SRP983160 TBL983160 TLH983160 TVD983160 UEZ983160 UOV983160 UYR983160 VIN983160 VSJ983160 WCF983160 WMB983160 WVX983160 BQU105:BQU107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CAQ105:CAQ107 JH120 TD120 ACZ120 AMV120 AWR120 BGN120 BQJ120 CAF120 CKB120 CTX120 DDT120 DNP120 DXL120 EHH120 ERD120 FAZ120 FKV120 FUR120 GEN120 GOJ120 GYF120 HIB120 HRX120 IBT120 ILP120 IVL120 JFH120 JPD120 JYZ120 KIV120 KSR120 LCN120 LMJ120 LWF120 MGB120 MPX120 MZT120 NJP120 NTL120 ODH120 OND120 OWZ120 PGV120 PQR120 QAN120 QKJ120 QUF120 REB120 RNX120 RXT120 SHP120 SRL120 TBH120 TLD120 TUZ120 UEV120 UOR120 UYN120 VIJ120 VSF120 WCB120 WLX120 WVT120 L65656 JH65656 TD65656 ACZ65656 AMV65656 AWR65656 BGN65656 BQJ65656 CAF65656 CKB65656 CTX65656 DDT65656 DNP65656 DXL65656 EHH65656 ERD65656 FAZ65656 FKV65656 FUR65656 GEN65656 GOJ65656 GYF65656 HIB65656 HRX65656 IBT65656 ILP65656 IVL65656 JFH65656 JPD65656 JYZ65656 KIV65656 KSR65656 LCN65656 LMJ65656 LWF65656 MGB65656 MPX65656 MZT65656 NJP65656 NTL65656 ODH65656 OND65656 OWZ65656 PGV65656 PQR65656 QAN65656 QKJ65656 QUF65656 REB65656 RNX65656 RXT65656 SHP65656 SRL65656 TBH65656 TLD65656 TUZ65656 UEV65656 UOR65656 UYN65656 VIJ65656 VSF65656 WCB65656 WLX65656 WVT65656 L131192 JH131192 TD131192 ACZ131192 AMV131192 AWR131192 BGN131192 BQJ131192 CAF131192 CKB131192 CTX131192 DDT131192 DNP131192 DXL131192 EHH131192 ERD131192 FAZ131192 FKV131192 FUR131192 GEN131192 GOJ131192 GYF131192 HIB131192 HRX131192 IBT131192 ILP131192 IVL131192 JFH131192 JPD131192 JYZ131192 KIV131192 KSR131192 LCN131192 LMJ131192 LWF131192 MGB131192 MPX131192 MZT131192 NJP131192 NTL131192 ODH131192 OND131192 OWZ131192 PGV131192 PQR131192 QAN131192 QKJ131192 QUF131192 REB131192 RNX131192 RXT131192 SHP131192 SRL131192 TBH131192 TLD131192 TUZ131192 UEV131192 UOR131192 UYN131192 VIJ131192 VSF131192 WCB131192 WLX131192 WVT131192 L196728 JH196728 TD196728 ACZ196728 AMV196728 AWR196728 BGN196728 BQJ196728 CAF196728 CKB196728 CTX196728 DDT196728 DNP196728 DXL196728 EHH196728 ERD196728 FAZ196728 FKV196728 FUR196728 GEN196728 GOJ196728 GYF196728 HIB196728 HRX196728 IBT196728 ILP196728 IVL196728 JFH196728 JPD196728 JYZ196728 KIV196728 KSR196728 LCN196728 LMJ196728 LWF196728 MGB196728 MPX196728 MZT196728 NJP196728 NTL196728 ODH196728 OND196728 OWZ196728 PGV196728 PQR196728 QAN196728 QKJ196728 QUF196728 REB196728 RNX196728 RXT196728 SHP196728 SRL196728 TBH196728 TLD196728 TUZ196728 UEV196728 UOR196728 UYN196728 VIJ196728 VSF196728 WCB196728 WLX196728 WVT196728 L262264 JH262264 TD262264 ACZ262264 AMV262264 AWR262264 BGN262264 BQJ262264 CAF262264 CKB262264 CTX262264 DDT262264 DNP262264 DXL262264 EHH262264 ERD262264 FAZ262264 FKV262264 FUR262264 GEN262264 GOJ262264 GYF262264 HIB262264 HRX262264 IBT262264 ILP262264 IVL262264 JFH262264 JPD262264 JYZ262264 KIV262264 KSR262264 LCN262264 LMJ262264 LWF262264 MGB262264 MPX262264 MZT262264 NJP262264 NTL262264 ODH262264 OND262264 OWZ262264 PGV262264 PQR262264 QAN262264 QKJ262264 QUF262264 REB262264 RNX262264 RXT262264 SHP262264 SRL262264 TBH262264 TLD262264 TUZ262264 UEV262264 UOR262264 UYN262264 VIJ262264 VSF262264 WCB262264 WLX262264 WVT262264 L327800 JH327800 TD327800 ACZ327800 AMV327800 AWR327800 BGN327800 BQJ327800 CAF327800 CKB327800 CTX327800 DDT327800 DNP327800 DXL327800 EHH327800 ERD327800 FAZ327800 FKV327800 FUR327800 GEN327800 GOJ327800 GYF327800 HIB327800 HRX327800 IBT327800 ILP327800 IVL327800 JFH327800 JPD327800 JYZ327800 KIV327800 KSR327800 LCN327800 LMJ327800 LWF327800 MGB327800 MPX327800 MZT327800 NJP327800 NTL327800 ODH327800 OND327800 OWZ327800 PGV327800 PQR327800 QAN327800 QKJ327800 QUF327800 REB327800 RNX327800 RXT327800 SHP327800 SRL327800 TBH327800 TLD327800 TUZ327800 UEV327800 UOR327800 UYN327800 VIJ327800 VSF327800 WCB327800 WLX327800 WVT327800 L393336 JH393336 TD393336 ACZ393336 AMV393336 AWR393336 BGN393336 BQJ393336 CAF393336 CKB393336 CTX393336 DDT393336 DNP393336 DXL393336 EHH393336 ERD393336 FAZ393336 FKV393336 FUR393336 GEN393336 GOJ393336 GYF393336 HIB393336 HRX393336 IBT393336 ILP393336 IVL393336 JFH393336 JPD393336 JYZ393336 KIV393336 KSR393336 LCN393336 LMJ393336 LWF393336 MGB393336 MPX393336 MZT393336 NJP393336 NTL393336 ODH393336 OND393336 OWZ393336 PGV393336 PQR393336 QAN393336 QKJ393336 QUF393336 REB393336 RNX393336 RXT393336 SHP393336 SRL393336 TBH393336 TLD393336 TUZ393336 UEV393336 UOR393336 UYN393336 VIJ393336 VSF393336 WCB393336 WLX393336 WVT393336 L458872 JH458872 TD458872 ACZ458872 AMV458872 AWR458872 BGN458872 BQJ458872 CAF458872 CKB458872 CTX458872 DDT458872 DNP458872 DXL458872 EHH458872 ERD458872 FAZ458872 FKV458872 FUR458872 GEN458872 GOJ458872 GYF458872 HIB458872 HRX458872 IBT458872 ILP458872 IVL458872 JFH458872 JPD458872 JYZ458872 KIV458872 KSR458872 LCN458872 LMJ458872 LWF458872 MGB458872 MPX458872 MZT458872 NJP458872 NTL458872 ODH458872 OND458872 OWZ458872 PGV458872 PQR458872 QAN458872 QKJ458872 QUF458872 REB458872 RNX458872 RXT458872 SHP458872 SRL458872 TBH458872 TLD458872 TUZ458872 UEV458872 UOR458872 UYN458872 VIJ458872 VSF458872 WCB458872 WLX458872 WVT458872 L524408 JH524408 TD524408 ACZ524408 AMV524408 AWR524408 BGN524408 BQJ524408 CAF524408 CKB524408 CTX524408 DDT524408 DNP524408 DXL524408 EHH524408 ERD524408 FAZ524408 FKV524408 FUR524408 GEN524408 GOJ524408 GYF524408 HIB524408 HRX524408 IBT524408 ILP524408 IVL524408 JFH524408 JPD524408 JYZ524408 KIV524408 KSR524408 LCN524408 LMJ524408 LWF524408 MGB524408 MPX524408 MZT524408 NJP524408 NTL524408 ODH524408 OND524408 OWZ524408 PGV524408 PQR524408 QAN524408 QKJ524408 QUF524408 REB524408 RNX524408 RXT524408 SHP524408 SRL524408 TBH524408 TLD524408 TUZ524408 UEV524408 UOR524408 UYN524408 VIJ524408 VSF524408 WCB524408 WLX524408 WVT524408 L589944 JH589944 TD589944 ACZ589944 AMV589944 AWR589944 BGN589944 BQJ589944 CAF589944 CKB589944 CTX589944 DDT589944 DNP589944 DXL589944 EHH589944 ERD589944 FAZ589944 FKV589944 FUR589944 GEN589944 GOJ589944 GYF589944 HIB589944 HRX589944 IBT589944 ILP589944 IVL589944 JFH589944 JPD589944 JYZ589944 KIV589944 KSR589944 LCN589944 LMJ589944 LWF589944 MGB589944 MPX589944 MZT589944 NJP589944 NTL589944 ODH589944 OND589944 OWZ589944 PGV589944 PQR589944 QAN589944 QKJ589944 QUF589944 REB589944 RNX589944 RXT589944 SHP589944 SRL589944 TBH589944 TLD589944 TUZ589944 UEV589944 UOR589944 UYN589944 VIJ589944 VSF589944 WCB589944 WLX589944 WVT589944 L655480 JH655480 TD655480 ACZ655480 AMV655480 AWR655480 BGN655480 BQJ655480 CAF655480 CKB655480 CTX655480 DDT655480 DNP655480 DXL655480 EHH655480 ERD655480 FAZ655480 FKV655480 FUR655480 GEN655480 GOJ655480 GYF655480 HIB655480 HRX655480 IBT655480 ILP655480 IVL655480 JFH655480 JPD655480 JYZ655480 KIV655480 KSR655480 LCN655480 LMJ655480 LWF655480 MGB655480 MPX655480 MZT655480 NJP655480 NTL655480 ODH655480 OND655480 OWZ655480 PGV655480 PQR655480 QAN655480 QKJ655480 QUF655480 REB655480 RNX655480 RXT655480 SHP655480 SRL655480 TBH655480 TLD655480 TUZ655480 UEV655480 UOR655480 UYN655480 VIJ655480 VSF655480 WCB655480 WLX655480 WVT655480 L721016 JH721016 TD721016 ACZ721016 AMV721016 AWR721016 BGN721016 BQJ721016 CAF721016 CKB721016 CTX721016 DDT721016 DNP721016 DXL721016 EHH721016 ERD721016 FAZ721016 FKV721016 FUR721016 GEN721016 GOJ721016 GYF721016 HIB721016 HRX721016 IBT721016 ILP721016 IVL721016 JFH721016 JPD721016 JYZ721016 KIV721016 KSR721016 LCN721016 LMJ721016 LWF721016 MGB721016 MPX721016 MZT721016 NJP721016 NTL721016 ODH721016 OND721016 OWZ721016 PGV721016 PQR721016 QAN721016 QKJ721016 QUF721016 REB721016 RNX721016 RXT721016 SHP721016 SRL721016 TBH721016 TLD721016 TUZ721016 UEV721016 UOR721016 UYN721016 VIJ721016 VSF721016 WCB721016 WLX721016 WVT721016 L786552 JH786552 TD786552 ACZ786552 AMV786552 AWR786552 BGN786552 BQJ786552 CAF786552 CKB786552 CTX786552 DDT786552 DNP786552 DXL786552 EHH786552 ERD786552 FAZ786552 FKV786552 FUR786552 GEN786552 GOJ786552 GYF786552 HIB786552 HRX786552 IBT786552 ILP786552 IVL786552 JFH786552 JPD786552 JYZ786552 KIV786552 KSR786552 LCN786552 LMJ786552 LWF786552 MGB786552 MPX786552 MZT786552 NJP786552 NTL786552 ODH786552 OND786552 OWZ786552 PGV786552 PQR786552 QAN786552 QKJ786552 QUF786552 REB786552 RNX786552 RXT786552 SHP786552 SRL786552 TBH786552 TLD786552 TUZ786552 UEV786552 UOR786552 UYN786552 VIJ786552 VSF786552 WCB786552 WLX786552 WVT786552 L852088 JH852088 TD852088 ACZ852088 AMV852088 AWR852088 BGN852088 BQJ852088 CAF852088 CKB852088 CTX852088 DDT852088 DNP852088 DXL852088 EHH852088 ERD852088 FAZ852088 FKV852088 FUR852088 GEN852088 GOJ852088 GYF852088 HIB852088 HRX852088 IBT852088 ILP852088 IVL852088 JFH852088 JPD852088 JYZ852088 KIV852088 KSR852088 LCN852088 LMJ852088 LWF852088 MGB852088 MPX852088 MZT852088 NJP852088 NTL852088 ODH852088 OND852088 OWZ852088 PGV852088 PQR852088 QAN852088 QKJ852088 QUF852088 REB852088 RNX852088 RXT852088 SHP852088 SRL852088 TBH852088 TLD852088 TUZ852088 UEV852088 UOR852088 UYN852088 VIJ852088 VSF852088 WCB852088 WLX852088 WVT852088 L917624 JH917624 TD917624 ACZ917624 AMV917624 AWR917624 BGN917624 BQJ917624 CAF917624 CKB917624 CTX917624 DDT917624 DNP917624 DXL917624 EHH917624 ERD917624 FAZ917624 FKV917624 FUR917624 GEN917624 GOJ917624 GYF917624 HIB917624 HRX917624 IBT917624 ILP917624 IVL917624 JFH917624 JPD917624 JYZ917624 KIV917624 KSR917624 LCN917624 LMJ917624 LWF917624 MGB917624 MPX917624 MZT917624 NJP917624 NTL917624 ODH917624 OND917624 OWZ917624 PGV917624 PQR917624 QAN917624 QKJ917624 QUF917624 REB917624 RNX917624 RXT917624 SHP917624 SRL917624 TBH917624 TLD917624 TUZ917624 UEV917624 UOR917624 UYN917624 VIJ917624 VSF917624 WCB917624 WLX917624 WVT917624 L983160 JH983160 TD983160 ACZ983160 AMV983160 AWR983160 BGN983160 BQJ983160 CAF983160 CKB983160 CTX983160 DDT983160 DNP983160 DXL983160 EHH983160 ERD983160 FAZ983160 FKV983160 FUR983160 GEN983160 GOJ983160 GYF983160 HIB983160 HRX983160 IBT983160 ILP983160 IVL983160 JFH983160 JPD983160 JYZ983160 KIV983160 KSR983160 LCN983160 LMJ983160 LWF983160 MGB983160 MPX983160 MZT983160 NJP983160 NTL983160 ODH983160 OND983160 OWZ983160 PGV983160 PQR983160 QAN983160 QKJ983160 QUF983160 REB983160 RNX983160 RXT983160 SHP983160 SRL983160 TBH983160 TLD983160 TUZ983160 UEV983160 UOR983160 UYN983160 VIJ983160 VSF983160 WCB983160 WLX983160 WVT983160 TBC983143 JB62:JB64 SX62:SX64 ACT62:ACT64 AMP62:AMP64 AWL62:AWL64 BGH62:BGH64 BQD62:BQD64 BZZ62:BZZ64 CJV62:CJV64 CTR62:CTR64 DDN62:DDN64 DNJ62:DNJ64 DXF62:DXF64 EHB62:EHB64 EQX62:EQX64 FAT62:FAT64 FKP62:FKP64 FUL62:FUL64 GEH62:GEH64 GOD62:GOD64 GXZ62:GXZ64 HHV62:HHV64 HRR62:HRR64 IBN62:IBN64 ILJ62:ILJ64 IVF62:IVF64 JFB62:JFB64 JOX62:JOX64 JYT62:JYT64 KIP62:KIP64 KSL62:KSL64 LCH62:LCH64 LMD62:LMD64 LVZ62:LVZ64 MFV62:MFV64 MPR62:MPR64 MZN62:MZN64 NJJ62:NJJ64 NTF62:NTF64 ODB62:ODB64 OMX62:OMX64 OWT62:OWT64 PGP62:PGP64 PQL62:PQL64 QAH62:QAH64 QKD62:QKD64 QTZ62:QTZ64 RDV62:RDV64 RNR62:RNR64 RXN62:RXN64 SHJ62:SHJ64 SRF62:SRF64 TBB62:TBB64 TKX62:TKX64 TUT62:TUT64 UEP62:UEP64 UOL62:UOL64 UYH62:UYH64 VID62:VID64 VRZ62:VRZ64 WBV62:WBV64 WLR62:WLR64 WVN62:WVN64 F65601:F65603 JB65601:JB65603 SX65601:SX65603 ACT65601:ACT65603 AMP65601:AMP65603 AWL65601:AWL65603 BGH65601:BGH65603 BQD65601:BQD65603 BZZ65601:BZZ65603 CJV65601:CJV65603 CTR65601:CTR65603 DDN65601:DDN65603 DNJ65601:DNJ65603 DXF65601:DXF65603 EHB65601:EHB65603 EQX65601:EQX65603 FAT65601:FAT65603 FKP65601:FKP65603 FUL65601:FUL65603 GEH65601:GEH65603 GOD65601:GOD65603 GXZ65601:GXZ65603 HHV65601:HHV65603 HRR65601:HRR65603 IBN65601:IBN65603 ILJ65601:ILJ65603 IVF65601:IVF65603 JFB65601:JFB65603 JOX65601:JOX65603 JYT65601:JYT65603 KIP65601:KIP65603 KSL65601:KSL65603 LCH65601:LCH65603 LMD65601:LMD65603 LVZ65601:LVZ65603 MFV65601:MFV65603 MPR65601:MPR65603 MZN65601:MZN65603 NJJ65601:NJJ65603 NTF65601:NTF65603 ODB65601:ODB65603 OMX65601:OMX65603 OWT65601:OWT65603 PGP65601:PGP65603 PQL65601:PQL65603 QAH65601:QAH65603 QKD65601:QKD65603 QTZ65601:QTZ65603 RDV65601:RDV65603 RNR65601:RNR65603 RXN65601:RXN65603 SHJ65601:SHJ65603 SRF65601:SRF65603 TBB65601:TBB65603 TKX65601:TKX65603 TUT65601:TUT65603 UEP65601:UEP65603 UOL65601:UOL65603 UYH65601:UYH65603 VID65601:VID65603 VRZ65601:VRZ65603 WBV65601:WBV65603 WLR65601:WLR65603 WVN65601:WVN65603 F131137:F131139 JB131137:JB131139 SX131137:SX131139 ACT131137:ACT131139 AMP131137:AMP131139 AWL131137:AWL131139 BGH131137:BGH131139 BQD131137:BQD131139 BZZ131137:BZZ131139 CJV131137:CJV131139 CTR131137:CTR131139 DDN131137:DDN131139 DNJ131137:DNJ131139 DXF131137:DXF131139 EHB131137:EHB131139 EQX131137:EQX131139 FAT131137:FAT131139 FKP131137:FKP131139 FUL131137:FUL131139 GEH131137:GEH131139 GOD131137:GOD131139 GXZ131137:GXZ131139 HHV131137:HHV131139 HRR131137:HRR131139 IBN131137:IBN131139 ILJ131137:ILJ131139 IVF131137:IVF131139 JFB131137:JFB131139 JOX131137:JOX131139 JYT131137:JYT131139 KIP131137:KIP131139 KSL131137:KSL131139 LCH131137:LCH131139 LMD131137:LMD131139 LVZ131137:LVZ131139 MFV131137:MFV131139 MPR131137:MPR131139 MZN131137:MZN131139 NJJ131137:NJJ131139 NTF131137:NTF131139 ODB131137:ODB131139 OMX131137:OMX131139 OWT131137:OWT131139 PGP131137:PGP131139 PQL131137:PQL131139 QAH131137:QAH131139 QKD131137:QKD131139 QTZ131137:QTZ131139 RDV131137:RDV131139 RNR131137:RNR131139 RXN131137:RXN131139 SHJ131137:SHJ131139 SRF131137:SRF131139 TBB131137:TBB131139 TKX131137:TKX131139 TUT131137:TUT131139 UEP131137:UEP131139 UOL131137:UOL131139 UYH131137:UYH131139 VID131137:VID131139 VRZ131137:VRZ131139 WBV131137:WBV131139 WLR131137:WLR131139 WVN131137:WVN131139 F196673:F196675 JB196673:JB196675 SX196673:SX196675 ACT196673:ACT196675 AMP196673:AMP196675 AWL196673:AWL196675 BGH196673:BGH196675 BQD196673:BQD196675 BZZ196673:BZZ196675 CJV196673:CJV196675 CTR196673:CTR196675 DDN196673:DDN196675 DNJ196673:DNJ196675 DXF196673:DXF196675 EHB196673:EHB196675 EQX196673:EQX196675 FAT196673:FAT196675 FKP196673:FKP196675 FUL196673:FUL196675 GEH196673:GEH196675 GOD196673:GOD196675 GXZ196673:GXZ196675 HHV196673:HHV196675 HRR196673:HRR196675 IBN196673:IBN196675 ILJ196673:ILJ196675 IVF196673:IVF196675 JFB196673:JFB196675 JOX196673:JOX196675 JYT196673:JYT196675 KIP196673:KIP196675 KSL196673:KSL196675 LCH196673:LCH196675 LMD196673:LMD196675 LVZ196673:LVZ196675 MFV196673:MFV196675 MPR196673:MPR196675 MZN196673:MZN196675 NJJ196673:NJJ196675 NTF196673:NTF196675 ODB196673:ODB196675 OMX196673:OMX196675 OWT196673:OWT196675 PGP196673:PGP196675 PQL196673:PQL196675 QAH196673:QAH196675 QKD196673:QKD196675 QTZ196673:QTZ196675 RDV196673:RDV196675 RNR196673:RNR196675 RXN196673:RXN196675 SHJ196673:SHJ196675 SRF196673:SRF196675 TBB196673:TBB196675 TKX196673:TKX196675 TUT196673:TUT196675 UEP196673:UEP196675 UOL196673:UOL196675 UYH196673:UYH196675 VID196673:VID196675 VRZ196673:VRZ196675 WBV196673:WBV196675 WLR196673:WLR196675 WVN196673:WVN196675 F262209:F262211 JB262209:JB262211 SX262209:SX262211 ACT262209:ACT262211 AMP262209:AMP262211 AWL262209:AWL262211 BGH262209:BGH262211 BQD262209:BQD262211 BZZ262209:BZZ262211 CJV262209:CJV262211 CTR262209:CTR262211 DDN262209:DDN262211 DNJ262209:DNJ262211 DXF262209:DXF262211 EHB262209:EHB262211 EQX262209:EQX262211 FAT262209:FAT262211 FKP262209:FKP262211 FUL262209:FUL262211 GEH262209:GEH262211 GOD262209:GOD262211 GXZ262209:GXZ262211 HHV262209:HHV262211 HRR262209:HRR262211 IBN262209:IBN262211 ILJ262209:ILJ262211 IVF262209:IVF262211 JFB262209:JFB262211 JOX262209:JOX262211 JYT262209:JYT262211 KIP262209:KIP262211 KSL262209:KSL262211 LCH262209:LCH262211 LMD262209:LMD262211 LVZ262209:LVZ262211 MFV262209:MFV262211 MPR262209:MPR262211 MZN262209:MZN262211 NJJ262209:NJJ262211 NTF262209:NTF262211 ODB262209:ODB262211 OMX262209:OMX262211 OWT262209:OWT262211 PGP262209:PGP262211 PQL262209:PQL262211 QAH262209:QAH262211 QKD262209:QKD262211 QTZ262209:QTZ262211 RDV262209:RDV262211 RNR262209:RNR262211 RXN262209:RXN262211 SHJ262209:SHJ262211 SRF262209:SRF262211 TBB262209:TBB262211 TKX262209:TKX262211 TUT262209:TUT262211 UEP262209:UEP262211 UOL262209:UOL262211 UYH262209:UYH262211 VID262209:VID262211 VRZ262209:VRZ262211 WBV262209:WBV262211 WLR262209:WLR262211 WVN262209:WVN262211 F327745:F327747 JB327745:JB327747 SX327745:SX327747 ACT327745:ACT327747 AMP327745:AMP327747 AWL327745:AWL327747 BGH327745:BGH327747 BQD327745:BQD327747 BZZ327745:BZZ327747 CJV327745:CJV327747 CTR327745:CTR327747 DDN327745:DDN327747 DNJ327745:DNJ327747 DXF327745:DXF327747 EHB327745:EHB327747 EQX327745:EQX327747 FAT327745:FAT327747 FKP327745:FKP327747 FUL327745:FUL327747 GEH327745:GEH327747 GOD327745:GOD327747 GXZ327745:GXZ327747 HHV327745:HHV327747 HRR327745:HRR327747 IBN327745:IBN327747 ILJ327745:ILJ327747 IVF327745:IVF327747 JFB327745:JFB327747 JOX327745:JOX327747 JYT327745:JYT327747 KIP327745:KIP327747 KSL327745:KSL327747 LCH327745:LCH327747 LMD327745:LMD327747 LVZ327745:LVZ327747 MFV327745:MFV327747 MPR327745:MPR327747 MZN327745:MZN327747 NJJ327745:NJJ327747 NTF327745:NTF327747 ODB327745:ODB327747 OMX327745:OMX327747 OWT327745:OWT327747 PGP327745:PGP327747 PQL327745:PQL327747 QAH327745:QAH327747 QKD327745:QKD327747 QTZ327745:QTZ327747 RDV327745:RDV327747 RNR327745:RNR327747 RXN327745:RXN327747 SHJ327745:SHJ327747 SRF327745:SRF327747 TBB327745:TBB327747 TKX327745:TKX327747 TUT327745:TUT327747 UEP327745:UEP327747 UOL327745:UOL327747 UYH327745:UYH327747 VID327745:VID327747 VRZ327745:VRZ327747 WBV327745:WBV327747 WLR327745:WLR327747 WVN327745:WVN327747 F393281:F393283 JB393281:JB393283 SX393281:SX393283 ACT393281:ACT393283 AMP393281:AMP393283 AWL393281:AWL393283 BGH393281:BGH393283 BQD393281:BQD393283 BZZ393281:BZZ393283 CJV393281:CJV393283 CTR393281:CTR393283 DDN393281:DDN393283 DNJ393281:DNJ393283 DXF393281:DXF393283 EHB393281:EHB393283 EQX393281:EQX393283 FAT393281:FAT393283 FKP393281:FKP393283 FUL393281:FUL393283 GEH393281:GEH393283 GOD393281:GOD393283 GXZ393281:GXZ393283 HHV393281:HHV393283 HRR393281:HRR393283 IBN393281:IBN393283 ILJ393281:ILJ393283 IVF393281:IVF393283 JFB393281:JFB393283 JOX393281:JOX393283 JYT393281:JYT393283 KIP393281:KIP393283 KSL393281:KSL393283 LCH393281:LCH393283 LMD393281:LMD393283 LVZ393281:LVZ393283 MFV393281:MFV393283 MPR393281:MPR393283 MZN393281:MZN393283 NJJ393281:NJJ393283 NTF393281:NTF393283 ODB393281:ODB393283 OMX393281:OMX393283 OWT393281:OWT393283 PGP393281:PGP393283 PQL393281:PQL393283 QAH393281:QAH393283 QKD393281:QKD393283 QTZ393281:QTZ393283 RDV393281:RDV393283 RNR393281:RNR393283 RXN393281:RXN393283 SHJ393281:SHJ393283 SRF393281:SRF393283 TBB393281:TBB393283 TKX393281:TKX393283 TUT393281:TUT393283 UEP393281:UEP393283 UOL393281:UOL393283 UYH393281:UYH393283 VID393281:VID393283 VRZ393281:VRZ393283 WBV393281:WBV393283 WLR393281:WLR393283 WVN393281:WVN393283 F458817:F458819 JB458817:JB458819 SX458817:SX458819 ACT458817:ACT458819 AMP458817:AMP458819 AWL458817:AWL458819 BGH458817:BGH458819 BQD458817:BQD458819 BZZ458817:BZZ458819 CJV458817:CJV458819 CTR458817:CTR458819 DDN458817:DDN458819 DNJ458817:DNJ458819 DXF458817:DXF458819 EHB458817:EHB458819 EQX458817:EQX458819 FAT458817:FAT458819 FKP458817:FKP458819 FUL458817:FUL458819 GEH458817:GEH458819 GOD458817:GOD458819 GXZ458817:GXZ458819 HHV458817:HHV458819 HRR458817:HRR458819 IBN458817:IBN458819 ILJ458817:ILJ458819 IVF458817:IVF458819 JFB458817:JFB458819 JOX458817:JOX458819 JYT458817:JYT458819 KIP458817:KIP458819 KSL458817:KSL458819 LCH458817:LCH458819 LMD458817:LMD458819 LVZ458817:LVZ458819 MFV458817:MFV458819 MPR458817:MPR458819 MZN458817:MZN458819 NJJ458817:NJJ458819 NTF458817:NTF458819 ODB458817:ODB458819 OMX458817:OMX458819 OWT458817:OWT458819 PGP458817:PGP458819 PQL458817:PQL458819 QAH458817:QAH458819 QKD458817:QKD458819 QTZ458817:QTZ458819 RDV458817:RDV458819 RNR458817:RNR458819 RXN458817:RXN458819 SHJ458817:SHJ458819 SRF458817:SRF458819 TBB458817:TBB458819 TKX458817:TKX458819 TUT458817:TUT458819 UEP458817:UEP458819 UOL458817:UOL458819 UYH458817:UYH458819 VID458817:VID458819 VRZ458817:VRZ458819 WBV458817:WBV458819 WLR458817:WLR458819 WVN458817:WVN458819 F524353:F524355 JB524353:JB524355 SX524353:SX524355 ACT524353:ACT524355 AMP524353:AMP524355 AWL524353:AWL524355 BGH524353:BGH524355 BQD524353:BQD524355 BZZ524353:BZZ524355 CJV524353:CJV524355 CTR524353:CTR524355 DDN524353:DDN524355 DNJ524353:DNJ524355 DXF524353:DXF524355 EHB524353:EHB524355 EQX524353:EQX524355 FAT524353:FAT524355 FKP524353:FKP524355 FUL524353:FUL524355 GEH524353:GEH524355 GOD524353:GOD524355 GXZ524353:GXZ524355 HHV524353:HHV524355 HRR524353:HRR524355 IBN524353:IBN524355 ILJ524353:ILJ524355 IVF524353:IVF524355 JFB524353:JFB524355 JOX524353:JOX524355 JYT524353:JYT524355 KIP524353:KIP524355 KSL524353:KSL524355 LCH524353:LCH524355 LMD524353:LMD524355 LVZ524353:LVZ524355 MFV524353:MFV524355 MPR524353:MPR524355 MZN524353:MZN524355 NJJ524353:NJJ524355 NTF524353:NTF524355 ODB524353:ODB524355 OMX524353:OMX524355 OWT524353:OWT524355 PGP524353:PGP524355 PQL524353:PQL524355 QAH524353:QAH524355 QKD524353:QKD524355 QTZ524353:QTZ524355 RDV524353:RDV524355 RNR524353:RNR524355 RXN524353:RXN524355 SHJ524353:SHJ524355 SRF524353:SRF524355 TBB524353:TBB524355 TKX524353:TKX524355 TUT524353:TUT524355 UEP524353:UEP524355 UOL524353:UOL524355 UYH524353:UYH524355 VID524353:VID524355 VRZ524353:VRZ524355 WBV524353:WBV524355 WLR524353:WLR524355 WVN524353:WVN524355 F589889:F589891 JB589889:JB589891 SX589889:SX589891 ACT589889:ACT589891 AMP589889:AMP589891 AWL589889:AWL589891 BGH589889:BGH589891 BQD589889:BQD589891 BZZ589889:BZZ589891 CJV589889:CJV589891 CTR589889:CTR589891 DDN589889:DDN589891 DNJ589889:DNJ589891 DXF589889:DXF589891 EHB589889:EHB589891 EQX589889:EQX589891 FAT589889:FAT589891 FKP589889:FKP589891 FUL589889:FUL589891 GEH589889:GEH589891 GOD589889:GOD589891 GXZ589889:GXZ589891 HHV589889:HHV589891 HRR589889:HRR589891 IBN589889:IBN589891 ILJ589889:ILJ589891 IVF589889:IVF589891 JFB589889:JFB589891 JOX589889:JOX589891 JYT589889:JYT589891 KIP589889:KIP589891 KSL589889:KSL589891 LCH589889:LCH589891 LMD589889:LMD589891 LVZ589889:LVZ589891 MFV589889:MFV589891 MPR589889:MPR589891 MZN589889:MZN589891 NJJ589889:NJJ589891 NTF589889:NTF589891 ODB589889:ODB589891 OMX589889:OMX589891 OWT589889:OWT589891 PGP589889:PGP589891 PQL589889:PQL589891 QAH589889:QAH589891 QKD589889:QKD589891 QTZ589889:QTZ589891 RDV589889:RDV589891 RNR589889:RNR589891 RXN589889:RXN589891 SHJ589889:SHJ589891 SRF589889:SRF589891 TBB589889:TBB589891 TKX589889:TKX589891 TUT589889:TUT589891 UEP589889:UEP589891 UOL589889:UOL589891 UYH589889:UYH589891 VID589889:VID589891 VRZ589889:VRZ589891 WBV589889:WBV589891 WLR589889:WLR589891 WVN589889:WVN589891 F655425:F655427 JB655425:JB655427 SX655425:SX655427 ACT655425:ACT655427 AMP655425:AMP655427 AWL655425:AWL655427 BGH655425:BGH655427 BQD655425:BQD655427 BZZ655425:BZZ655427 CJV655425:CJV655427 CTR655425:CTR655427 DDN655425:DDN655427 DNJ655425:DNJ655427 DXF655425:DXF655427 EHB655425:EHB655427 EQX655425:EQX655427 FAT655425:FAT655427 FKP655425:FKP655427 FUL655425:FUL655427 GEH655425:GEH655427 GOD655425:GOD655427 GXZ655425:GXZ655427 HHV655425:HHV655427 HRR655425:HRR655427 IBN655425:IBN655427 ILJ655425:ILJ655427 IVF655425:IVF655427 JFB655425:JFB655427 JOX655425:JOX655427 JYT655425:JYT655427 KIP655425:KIP655427 KSL655425:KSL655427 LCH655425:LCH655427 LMD655425:LMD655427 LVZ655425:LVZ655427 MFV655425:MFV655427 MPR655425:MPR655427 MZN655425:MZN655427 NJJ655425:NJJ655427 NTF655425:NTF655427 ODB655425:ODB655427 OMX655425:OMX655427 OWT655425:OWT655427 PGP655425:PGP655427 PQL655425:PQL655427 QAH655425:QAH655427 QKD655425:QKD655427 QTZ655425:QTZ655427 RDV655425:RDV655427 RNR655425:RNR655427 RXN655425:RXN655427 SHJ655425:SHJ655427 SRF655425:SRF655427 TBB655425:TBB655427 TKX655425:TKX655427 TUT655425:TUT655427 UEP655425:UEP655427 UOL655425:UOL655427 UYH655425:UYH655427 VID655425:VID655427 VRZ655425:VRZ655427 WBV655425:WBV655427 WLR655425:WLR655427 WVN655425:WVN655427 F720961:F720963 JB720961:JB720963 SX720961:SX720963 ACT720961:ACT720963 AMP720961:AMP720963 AWL720961:AWL720963 BGH720961:BGH720963 BQD720961:BQD720963 BZZ720961:BZZ720963 CJV720961:CJV720963 CTR720961:CTR720963 DDN720961:DDN720963 DNJ720961:DNJ720963 DXF720961:DXF720963 EHB720961:EHB720963 EQX720961:EQX720963 FAT720961:FAT720963 FKP720961:FKP720963 FUL720961:FUL720963 GEH720961:GEH720963 GOD720961:GOD720963 GXZ720961:GXZ720963 HHV720961:HHV720963 HRR720961:HRR720963 IBN720961:IBN720963 ILJ720961:ILJ720963 IVF720961:IVF720963 JFB720961:JFB720963 JOX720961:JOX720963 JYT720961:JYT720963 KIP720961:KIP720963 KSL720961:KSL720963 LCH720961:LCH720963 LMD720961:LMD720963 LVZ720961:LVZ720963 MFV720961:MFV720963 MPR720961:MPR720963 MZN720961:MZN720963 NJJ720961:NJJ720963 NTF720961:NTF720963 ODB720961:ODB720963 OMX720961:OMX720963 OWT720961:OWT720963 PGP720961:PGP720963 PQL720961:PQL720963 QAH720961:QAH720963 QKD720961:QKD720963 QTZ720961:QTZ720963 RDV720961:RDV720963 RNR720961:RNR720963 RXN720961:RXN720963 SHJ720961:SHJ720963 SRF720961:SRF720963 TBB720961:TBB720963 TKX720961:TKX720963 TUT720961:TUT720963 UEP720961:UEP720963 UOL720961:UOL720963 UYH720961:UYH720963 VID720961:VID720963 VRZ720961:VRZ720963 WBV720961:WBV720963 WLR720961:WLR720963 WVN720961:WVN720963 F786497:F786499 JB786497:JB786499 SX786497:SX786499 ACT786497:ACT786499 AMP786497:AMP786499 AWL786497:AWL786499 BGH786497:BGH786499 BQD786497:BQD786499 BZZ786497:BZZ786499 CJV786497:CJV786499 CTR786497:CTR786499 DDN786497:DDN786499 DNJ786497:DNJ786499 DXF786497:DXF786499 EHB786497:EHB786499 EQX786497:EQX786499 FAT786497:FAT786499 FKP786497:FKP786499 FUL786497:FUL786499 GEH786497:GEH786499 GOD786497:GOD786499 GXZ786497:GXZ786499 HHV786497:HHV786499 HRR786497:HRR786499 IBN786497:IBN786499 ILJ786497:ILJ786499 IVF786497:IVF786499 JFB786497:JFB786499 JOX786497:JOX786499 JYT786497:JYT786499 KIP786497:KIP786499 KSL786497:KSL786499 LCH786497:LCH786499 LMD786497:LMD786499 LVZ786497:LVZ786499 MFV786497:MFV786499 MPR786497:MPR786499 MZN786497:MZN786499 NJJ786497:NJJ786499 NTF786497:NTF786499 ODB786497:ODB786499 OMX786497:OMX786499 OWT786497:OWT786499 PGP786497:PGP786499 PQL786497:PQL786499 QAH786497:QAH786499 QKD786497:QKD786499 QTZ786497:QTZ786499 RDV786497:RDV786499 RNR786497:RNR786499 RXN786497:RXN786499 SHJ786497:SHJ786499 SRF786497:SRF786499 TBB786497:TBB786499 TKX786497:TKX786499 TUT786497:TUT786499 UEP786497:UEP786499 UOL786497:UOL786499 UYH786497:UYH786499 VID786497:VID786499 VRZ786497:VRZ786499 WBV786497:WBV786499 WLR786497:WLR786499 WVN786497:WVN786499 F852033:F852035 JB852033:JB852035 SX852033:SX852035 ACT852033:ACT852035 AMP852033:AMP852035 AWL852033:AWL852035 BGH852033:BGH852035 BQD852033:BQD852035 BZZ852033:BZZ852035 CJV852033:CJV852035 CTR852033:CTR852035 DDN852033:DDN852035 DNJ852033:DNJ852035 DXF852033:DXF852035 EHB852033:EHB852035 EQX852033:EQX852035 FAT852033:FAT852035 FKP852033:FKP852035 FUL852033:FUL852035 GEH852033:GEH852035 GOD852033:GOD852035 GXZ852033:GXZ852035 HHV852033:HHV852035 HRR852033:HRR852035 IBN852033:IBN852035 ILJ852033:ILJ852035 IVF852033:IVF852035 JFB852033:JFB852035 JOX852033:JOX852035 JYT852033:JYT852035 KIP852033:KIP852035 KSL852033:KSL852035 LCH852033:LCH852035 LMD852033:LMD852035 LVZ852033:LVZ852035 MFV852033:MFV852035 MPR852033:MPR852035 MZN852033:MZN852035 NJJ852033:NJJ852035 NTF852033:NTF852035 ODB852033:ODB852035 OMX852033:OMX852035 OWT852033:OWT852035 PGP852033:PGP852035 PQL852033:PQL852035 QAH852033:QAH852035 QKD852033:QKD852035 QTZ852033:QTZ852035 RDV852033:RDV852035 RNR852033:RNR852035 RXN852033:RXN852035 SHJ852033:SHJ852035 SRF852033:SRF852035 TBB852033:TBB852035 TKX852033:TKX852035 TUT852033:TUT852035 UEP852033:UEP852035 UOL852033:UOL852035 UYH852033:UYH852035 VID852033:VID852035 VRZ852033:VRZ852035 WBV852033:WBV852035 WLR852033:WLR852035 WVN852033:WVN852035 F917569:F917571 JB917569:JB917571 SX917569:SX917571 ACT917569:ACT917571 AMP917569:AMP917571 AWL917569:AWL917571 BGH917569:BGH917571 BQD917569:BQD917571 BZZ917569:BZZ917571 CJV917569:CJV917571 CTR917569:CTR917571 DDN917569:DDN917571 DNJ917569:DNJ917571 DXF917569:DXF917571 EHB917569:EHB917571 EQX917569:EQX917571 FAT917569:FAT917571 FKP917569:FKP917571 FUL917569:FUL917571 GEH917569:GEH917571 GOD917569:GOD917571 GXZ917569:GXZ917571 HHV917569:HHV917571 HRR917569:HRR917571 IBN917569:IBN917571 ILJ917569:ILJ917571 IVF917569:IVF917571 JFB917569:JFB917571 JOX917569:JOX917571 JYT917569:JYT917571 KIP917569:KIP917571 KSL917569:KSL917571 LCH917569:LCH917571 LMD917569:LMD917571 LVZ917569:LVZ917571 MFV917569:MFV917571 MPR917569:MPR917571 MZN917569:MZN917571 NJJ917569:NJJ917571 NTF917569:NTF917571 ODB917569:ODB917571 OMX917569:OMX917571 OWT917569:OWT917571 PGP917569:PGP917571 PQL917569:PQL917571 QAH917569:QAH917571 QKD917569:QKD917571 QTZ917569:QTZ917571 RDV917569:RDV917571 RNR917569:RNR917571 RXN917569:RXN917571 SHJ917569:SHJ917571 SRF917569:SRF917571 TBB917569:TBB917571 TKX917569:TKX917571 TUT917569:TUT917571 UEP917569:UEP917571 UOL917569:UOL917571 UYH917569:UYH917571 VID917569:VID917571 VRZ917569:VRZ917571 WBV917569:WBV917571 WLR917569:WLR917571 WVN917569:WVN917571 F983105:F983107 JB983105:JB983107 SX983105:SX983107 ACT983105:ACT983107 AMP983105:AMP983107 AWL983105:AWL983107 BGH983105:BGH983107 BQD983105:BQD983107 BZZ983105:BZZ983107 CJV983105:CJV983107 CTR983105:CTR983107 DDN983105:DDN983107 DNJ983105:DNJ983107 DXF983105:DXF983107 EHB983105:EHB983107 EQX983105:EQX983107 FAT983105:FAT983107 FKP983105:FKP983107 FUL983105:FUL983107 GEH983105:GEH983107 GOD983105:GOD983107 GXZ983105:GXZ983107 HHV983105:HHV983107 HRR983105:HRR983107 IBN983105:IBN983107 ILJ983105:ILJ983107 IVF983105:IVF983107 JFB983105:JFB983107 JOX983105:JOX983107 JYT983105:JYT983107 KIP983105:KIP983107 KSL983105:KSL983107 LCH983105:LCH983107 LMD983105:LMD983107 LVZ983105:LVZ983107 MFV983105:MFV983107 MPR983105:MPR983107 MZN983105:MZN983107 NJJ983105:NJJ983107 NTF983105:NTF983107 ODB983105:ODB983107 OMX983105:OMX983107 OWT983105:OWT983107 PGP983105:PGP983107 PQL983105:PQL983107 QAH983105:QAH983107 QKD983105:QKD983107 QTZ983105:QTZ983107 RDV983105:RDV983107 RNR983105:RNR983107 RXN983105:RXN983107 SHJ983105:SHJ983107 SRF983105:SRF983107 TBB983105:TBB983107 TKX983105:TKX983107 TUT983105:TUT983107 UEP983105:UEP983107 UOL983105:UOL983107 UYH983105:UYH983107 VID983105:VID983107 VRZ983105:VRZ983107 WBV983105:WBV983107 WLR983105:WLR983107 WVN983105:WVN983107 DXO71:DXO77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M65635 JI65635 TE65635 ADA65635 AMW65635 AWS65635 BGO65635 BQK65635 CAG65635 CKC65635 CTY65635 DDU65635 DNQ65635 DXM65635 EHI65635 ERE65635 FBA65635 FKW65635 FUS65635 GEO65635 GOK65635 GYG65635 HIC65635 HRY65635 IBU65635 ILQ65635 IVM65635 JFI65635 JPE65635 JZA65635 KIW65635 KSS65635 LCO65635 LMK65635 LWG65635 MGC65635 MPY65635 MZU65635 NJQ65635 NTM65635 ODI65635 ONE65635 OXA65635 PGW65635 PQS65635 QAO65635 QKK65635 QUG65635 REC65635 RNY65635 RXU65635 SHQ65635 SRM65635 TBI65635 TLE65635 TVA65635 UEW65635 UOS65635 UYO65635 VIK65635 VSG65635 WCC65635 WLY65635 WVU65635 M131171 JI131171 TE131171 ADA131171 AMW131171 AWS131171 BGO131171 BQK131171 CAG131171 CKC131171 CTY131171 DDU131171 DNQ131171 DXM131171 EHI131171 ERE131171 FBA131171 FKW131171 FUS131171 GEO131171 GOK131171 GYG131171 HIC131171 HRY131171 IBU131171 ILQ131171 IVM131171 JFI131171 JPE131171 JZA131171 KIW131171 KSS131171 LCO131171 LMK131171 LWG131171 MGC131171 MPY131171 MZU131171 NJQ131171 NTM131171 ODI131171 ONE131171 OXA131171 PGW131171 PQS131171 QAO131171 QKK131171 QUG131171 REC131171 RNY131171 RXU131171 SHQ131171 SRM131171 TBI131171 TLE131171 TVA131171 UEW131171 UOS131171 UYO131171 VIK131171 VSG131171 WCC131171 WLY131171 WVU131171 M196707 JI196707 TE196707 ADA196707 AMW196707 AWS196707 BGO196707 BQK196707 CAG196707 CKC196707 CTY196707 DDU196707 DNQ196707 DXM196707 EHI196707 ERE196707 FBA196707 FKW196707 FUS196707 GEO196707 GOK196707 GYG196707 HIC196707 HRY196707 IBU196707 ILQ196707 IVM196707 JFI196707 JPE196707 JZA196707 KIW196707 KSS196707 LCO196707 LMK196707 LWG196707 MGC196707 MPY196707 MZU196707 NJQ196707 NTM196707 ODI196707 ONE196707 OXA196707 PGW196707 PQS196707 QAO196707 QKK196707 QUG196707 REC196707 RNY196707 RXU196707 SHQ196707 SRM196707 TBI196707 TLE196707 TVA196707 UEW196707 UOS196707 UYO196707 VIK196707 VSG196707 WCC196707 WLY196707 WVU196707 M262243 JI262243 TE262243 ADA262243 AMW262243 AWS262243 BGO262243 BQK262243 CAG262243 CKC262243 CTY262243 DDU262243 DNQ262243 DXM262243 EHI262243 ERE262243 FBA262243 FKW262243 FUS262243 GEO262243 GOK262243 GYG262243 HIC262243 HRY262243 IBU262243 ILQ262243 IVM262243 JFI262243 JPE262243 JZA262243 KIW262243 KSS262243 LCO262243 LMK262243 LWG262243 MGC262243 MPY262243 MZU262243 NJQ262243 NTM262243 ODI262243 ONE262243 OXA262243 PGW262243 PQS262243 QAO262243 QKK262243 QUG262243 REC262243 RNY262243 RXU262243 SHQ262243 SRM262243 TBI262243 TLE262243 TVA262243 UEW262243 UOS262243 UYO262243 VIK262243 VSG262243 WCC262243 WLY262243 WVU262243 M327779 JI327779 TE327779 ADA327779 AMW327779 AWS327779 BGO327779 BQK327779 CAG327779 CKC327779 CTY327779 DDU327779 DNQ327779 DXM327779 EHI327779 ERE327779 FBA327779 FKW327779 FUS327779 GEO327779 GOK327779 GYG327779 HIC327779 HRY327779 IBU327779 ILQ327779 IVM327779 JFI327779 JPE327779 JZA327779 KIW327779 KSS327779 LCO327779 LMK327779 LWG327779 MGC327779 MPY327779 MZU327779 NJQ327779 NTM327779 ODI327779 ONE327779 OXA327779 PGW327779 PQS327779 QAO327779 QKK327779 QUG327779 REC327779 RNY327779 RXU327779 SHQ327779 SRM327779 TBI327779 TLE327779 TVA327779 UEW327779 UOS327779 UYO327779 VIK327779 VSG327779 WCC327779 WLY327779 WVU327779 M393315 JI393315 TE393315 ADA393315 AMW393315 AWS393315 BGO393315 BQK393315 CAG393315 CKC393315 CTY393315 DDU393315 DNQ393315 DXM393315 EHI393315 ERE393315 FBA393315 FKW393315 FUS393315 GEO393315 GOK393315 GYG393315 HIC393315 HRY393315 IBU393315 ILQ393315 IVM393315 JFI393315 JPE393315 JZA393315 KIW393315 KSS393315 LCO393315 LMK393315 LWG393315 MGC393315 MPY393315 MZU393315 NJQ393315 NTM393315 ODI393315 ONE393315 OXA393315 PGW393315 PQS393315 QAO393315 QKK393315 QUG393315 REC393315 RNY393315 RXU393315 SHQ393315 SRM393315 TBI393315 TLE393315 TVA393315 UEW393315 UOS393315 UYO393315 VIK393315 VSG393315 WCC393315 WLY393315 WVU393315 M458851 JI458851 TE458851 ADA458851 AMW458851 AWS458851 BGO458851 BQK458851 CAG458851 CKC458851 CTY458851 DDU458851 DNQ458851 DXM458851 EHI458851 ERE458851 FBA458851 FKW458851 FUS458851 GEO458851 GOK458851 GYG458851 HIC458851 HRY458851 IBU458851 ILQ458851 IVM458851 JFI458851 JPE458851 JZA458851 KIW458851 KSS458851 LCO458851 LMK458851 LWG458851 MGC458851 MPY458851 MZU458851 NJQ458851 NTM458851 ODI458851 ONE458851 OXA458851 PGW458851 PQS458851 QAO458851 QKK458851 QUG458851 REC458851 RNY458851 RXU458851 SHQ458851 SRM458851 TBI458851 TLE458851 TVA458851 UEW458851 UOS458851 UYO458851 VIK458851 VSG458851 WCC458851 WLY458851 WVU458851 M524387 JI524387 TE524387 ADA524387 AMW524387 AWS524387 BGO524387 BQK524387 CAG524387 CKC524387 CTY524387 DDU524387 DNQ524387 DXM524387 EHI524387 ERE524387 FBA524387 FKW524387 FUS524387 GEO524387 GOK524387 GYG524387 HIC524387 HRY524387 IBU524387 ILQ524387 IVM524387 JFI524387 JPE524387 JZA524387 KIW524387 KSS524387 LCO524387 LMK524387 LWG524387 MGC524387 MPY524387 MZU524387 NJQ524387 NTM524387 ODI524387 ONE524387 OXA524387 PGW524387 PQS524387 QAO524387 QKK524387 QUG524387 REC524387 RNY524387 RXU524387 SHQ524387 SRM524387 TBI524387 TLE524387 TVA524387 UEW524387 UOS524387 UYO524387 VIK524387 VSG524387 WCC524387 WLY524387 WVU524387 M589923 JI589923 TE589923 ADA589923 AMW589923 AWS589923 BGO589923 BQK589923 CAG589923 CKC589923 CTY589923 DDU589923 DNQ589923 DXM589923 EHI589923 ERE589923 FBA589923 FKW589923 FUS589923 GEO589923 GOK589923 GYG589923 HIC589923 HRY589923 IBU589923 ILQ589923 IVM589923 JFI589923 JPE589923 JZA589923 KIW589923 KSS589923 LCO589923 LMK589923 LWG589923 MGC589923 MPY589923 MZU589923 NJQ589923 NTM589923 ODI589923 ONE589923 OXA589923 PGW589923 PQS589923 QAO589923 QKK589923 QUG589923 REC589923 RNY589923 RXU589923 SHQ589923 SRM589923 TBI589923 TLE589923 TVA589923 UEW589923 UOS589923 UYO589923 VIK589923 VSG589923 WCC589923 WLY589923 WVU589923 M655459 JI655459 TE655459 ADA655459 AMW655459 AWS655459 BGO655459 BQK655459 CAG655459 CKC655459 CTY655459 DDU655459 DNQ655459 DXM655459 EHI655459 ERE655459 FBA655459 FKW655459 FUS655459 GEO655459 GOK655459 GYG655459 HIC655459 HRY655459 IBU655459 ILQ655459 IVM655459 JFI655459 JPE655459 JZA655459 KIW655459 KSS655459 LCO655459 LMK655459 LWG655459 MGC655459 MPY655459 MZU655459 NJQ655459 NTM655459 ODI655459 ONE655459 OXA655459 PGW655459 PQS655459 QAO655459 QKK655459 QUG655459 REC655459 RNY655459 RXU655459 SHQ655459 SRM655459 TBI655459 TLE655459 TVA655459 UEW655459 UOS655459 UYO655459 VIK655459 VSG655459 WCC655459 WLY655459 WVU655459 M720995 JI720995 TE720995 ADA720995 AMW720995 AWS720995 BGO720995 BQK720995 CAG720995 CKC720995 CTY720995 DDU720995 DNQ720995 DXM720995 EHI720995 ERE720995 FBA720995 FKW720995 FUS720995 GEO720995 GOK720995 GYG720995 HIC720995 HRY720995 IBU720995 ILQ720995 IVM720995 JFI720995 JPE720995 JZA720995 KIW720995 KSS720995 LCO720995 LMK720995 LWG720995 MGC720995 MPY720995 MZU720995 NJQ720995 NTM720995 ODI720995 ONE720995 OXA720995 PGW720995 PQS720995 QAO720995 QKK720995 QUG720995 REC720995 RNY720995 RXU720995 SHQ720995 SRM720995 TBI720995 TLE720995 TVA720995 UEW720995 UOS720995 UYO720995 VIK720995 VSG720995 WCC720995 WLY720995 WVU720995 M786531 JI786531 TE786531 ADA786531 AMW786531 AWS786531 BGO786531 BQK786531 CAG786531 CKC786531 CTY786531 DDU786531 DNQ786531 DXM786531 EHI786531 ERE786531 FBA786531 FKW786531 FUS786531 GEO786531 GOK786531 GYG786531 HIC786531 HRY786531 IBU786531 ILQ786531 IVM786531 JFI786531 JPE786531 JZA786531 KIW786531 KSS786531 LCO786531 LMK786531 LWG786531 MGC786531 MPY786531 MZU786531 NJQ786531 NTM786531 ODI786531 ONE786531 OXA786531 PGW786531 PQS786531 QAO786531 QKK786531 QUG786531 REC786531 RNY786531 RXU786531 SHQ786531 SRM786531 TBI786531 TLE786531 TVA786531 UEW786531 UOS786531 UYO786531 VIK786531 VSG786531 WCC786531 WLY786531 WVU786531 M852067 JI852067 TE852067 ADA852067 AMW852067 AWS852067 BGO852067 BQK852067 CAG852067 CKC852067 CTY852067 DDU852067 DNQ852067 DXM852067 EHI852067 ERE852067 FBA852067 FKW852067 FUS852067 GEO852067 GOK852067 GYG852067 HIC852067 HRY852067 IBU852067 ILQ852067 IVM852067 JFI852067 JPE852067 JZA852067 KIW852067 KSS852067 LCO852067 LMK852067 LWG852067 MGC852067 MPY852067 MZU852067 NJQ852067 NTM852067 ODI852067 ONE852067 OXA852067 PGW852067 PQS852067 QAO852067 QKK852067 QUG852067 REC852067 RNY852067 RXU852067 SHQ852067 SRM852067 TBI852067 TLE852067 TVA852067 UEW852067 UOS852067 UYO852067 VIK852067 VSG852067 WCC852067 WLY852067 WVU852067 M917603 JI917603 TE917603 ADA917603 AMW917603 AWS917603 BGO917603 BQK917603 CAG917603 CKC917603 CTY917603 DDU917603 DNQ917603 DXM917603 EHI917603 ERE917603 FBA917603 FKW917603 FUS917603 GEO917603 GOK917603 GYG917603 HIC917603 HRY917603 IBU917603 ILQ917603 IVM917603 JFI917603 JPE917603 JZA917603 KIW917603 KSS917603 LCO917603 LMK917603 LWG917603 MGC917603 MPY917603 MZU917603 NJQ917603 NTM917603 ODI917603 ONE917603 OXA917603 PGW917603 PQS917603 QAO917603 QKK917603 QUG917603 REC917603 RNY917603 RXU917603 SHQ917603 SRM917603 TBI917603 TLE917603 TVA917603 UEW917603 UOS917603 UYO917603 VIK917603 VSG917603 WCC917603 WLY917603 WVU917603 M983139 JI983139 TE983139 ADA983139 AMW983139 AWS983139 BGO983139 BQK983139 CAG983139 CKC983139 CTY983139 DDU983139 DNQ983139 DXM983139 EHI983139 ERE983139 FBA983139 FKW983139 FUS983139 GEO983139 GOK983139 GYG983139 HIC983139 HRY983139 IBU983139 ILQ983139 IVM983139 JFI983139 JPE983139 JZA983139 KIW983139 KSS983139 LCO983139 LMK983139 LWG983139 MGC983139 MPY983139 MZU983139 NJQ983139 NTM983139 ODI983139 ONE983139 OXA983139 PGW983139 PQS983139 QAO983139 QKK983139 QUG983139 REC983139 RNY983139 RXU983139 SHQ983139 SRM983139 TBI983139 TLE983139 TVA983139 UEW983139 UOS983139 UYO983139 VIK983139 VSG983139 WCC983139 WLY983139 WVU983139 JM100:JM101 TI100:TI101 ADE100:ADE101 ANA100:ANA101 AWW100:AWW101 BGS100:BGS101 BQO100:BQO101 CAK100:CAK101 CKG100:CKG101 CUC100:CUC101 DDY100:DDY101 DNU100:DNU101 DXQ100:DXQ101 EHM100:EHM101 ERI100:ERI101 FBE100:FBE101 FLA100:FLA101 FUW100:FUW101 GES100:GES101 GOO100:GOO101 GYK100:GYK101 HIG100:HIG101 HSC100:HSC101 IBY100:IBY101 ILU100:ILU101 IVQ100:IVQ101 JFM100:JFM101 JPI100:JPI101 JZE100:JZE101 KJA100:KJA101 KSW100:KSW101 LCS100:LCS101 LMO100:LMO101 LWK100:LWK101 MGG100:MGG101 MQC100:MQC101 MZY100:MZY101 NJU100:NJU101 NTQ100:NTQ101 ODM100:ODM101 ONI100:ONI101 OXE100:OXE101 PHA100:PHA101 PQW100:PQW101 QAS100:QAS101 QKO100:QKO101 QUK100:QUK101 REG100:REG101 ROC100:ROC101 RXY100:RXY101 SHU100:SHU101 SRQ100:SRQ101 TBM100:TBM101 TLI100:TLI101 TVE100:TVE101 UFA100:UFA101 UOW100:UOW101 UYS100:UYS101 VIO100:VIO101 VSK100:VSK101 WCG100:WCG101 WMC100:WMC101 WVY100:WVY101 Q65635:Q65636 JM65635:JM65636 TI65635:TI65636 ADE65635:ADE65636 ANA65635:ANA65636 AWW65635:AWW65636 BGS65635:BGS65636 BQO65635:BQO65636 CAK65635:CAK65636 CKG65635:CKG65636 CUC65635:CUC65636 DDY65635:DDY65636 DNU65635:DNU65636 DXQ65635:DXQ65636 EHM65635:EHM65636 ERI65635:ERI65636 FBE65635:FBE65636 FLA65635:FLA65636 FUW65635:FUW65636 GES65635:GES65636 GOO65635:GOO65636 GYK65635:GYK65636 HIG65635:HIG65636 HSC65635:HSC65636 IBY65635:IBY65636 ILU65635:ILU65636 IVQ65635:IVQ65636 JFM65635:JFM65636 JPI65635:JPI65636 JZE65635:JZE65636 KJA65635:KJA65636 KSW65635:KSW65636 LCS65635:LCS65636 LMO65635:LMO65636 LWK65635:LWK65636 MGG65635:MGG65636 MQC65635:MQC65636 MZY65635:MZY65636 NJU65635:NJU65636 NTQ65635:NTQ65636 ODM65635:ODM65636 ONI65635:ONI65636 OXE65635:OXE65636 PHA65635:PHA65636 PQW65635:PQW65636 QAS65635:QAS65636 QKO65635:QKO65636 QUK65635:QUK65636 REG65635:REG65636 ROC65635:ROC65636 RXY65635:RXY65636 SHU65635:SHU65636 SRQ65635:SRQ65636 TBM65635:TBM65636 TLI65635:TLI65636 TVE65635:TVE65636 UFA65635:UFA65636 UOW65635:UOW65636 UYS65635:UYS65636 VIO65635:VIO65636 VSK65635:VSK65636 WCG65635:WCG65636 WMC65635:WMC65636 WVY65635:WVY65636 Q131171:Q131172 JM131171:JM131172 TI131171:TI131172 ADE131171:ADE131172 ANA131171:ANA131172 AWW131171:AWW131172 BGS131171:BGS131172 BQO131171:BQO131172 CAK131171:CAK131172 CKG131171:CKG131172 CUC131171:CUC131172 DDY131171:DDY131172 DNU131171:DNU131172 DXQ131171:DXQ131172 EHM131171:EHM131172 ERI131171:ERI131172 FBE131171:FBE131172 FLA131171:FLA131172 FUW131171:FUW131172 GES131171:GES131172 GOO131171:GOO131172 GYK131171:GYK131172 HIG131171:HIG131172 HSC131171:HSC131172 IBY131171:IBY131172 ILU131171:ILU131172 IVQ131171:IVQ131172 JFM131171:JFM131172 JPI131171:JPI131172 JZE131171:JZE131172 KJA131171:KJA131172 KSW131171:KSW131172 LCS131171:LCS131172 LMO131171:LMO131172 LWK131171:LWK131172 MGG131171:MGG131172 MQC131171:MQC131172 MZY131171:MZY131172 NJU131171:NJU131172 NTQ131171:NTQ131172 ODM131171:ODM131172 ONI131171:ONI131172 OXE131171:OXE131172 PHA131171:PHA131172 PQW131171:PQW131172 QAS131171:QAS131172 QKO131171:QKO131172 QUK131171:QUK131172 REG131171:REG131172 ROC131171:ROC131172 RXY131171:RXY131172 SHU131171:SHU131172 SRQ131171:SRQ131172 TBM131171:TBM131172 TLI131171:TLI131172 TVE131171:TVE131172 UFA131171:UFA131172 UOW131171:UOW131172 UYS131171:UYS131172 VIO131171:VIO131172 VSK131171:VSK131172 WCG131171:WCG131172 WMC131171:WMC131172 WVY131171:WVY131172 Q196707:Q196708 JM196707:JM196708 TI196707:TI196708 ADE196707:ADE196708 ANA196707:ANA196708 AWW196707:AWW196708 BGS196707:BGS196708 BQO196707:BQO196708 CAK196707:CAK196708 CKG196707:CKG196708 CUC196707:CUC196708 DDY196707:DDY196708 DNU196707:DNU196708 DXQ196707:DXQ196708 EHM196707:EHM196708 ERI196707:ERI196708 FBE196707:FBE196708 FLA196707:FLA196708 FUW196707:FUW196708 GES196707:GES196708 GOO196707:GOO196708 GYK196707:GYK196708 HIG196707:HIG196708 HSC196707:HSC196708 IBY196707:IBY196708 ILU196707:ILU196708 IVQ196707:IVQ196708 JFM196707:JFM196708 JPI196707:JPI196708 JZE196707:JZE196708 KJA196707:KJA196708 KSW196707:KSW196708 LCS196707:LCS196708 LMO196707:LMO196708 LWK196707:LWK196708 MGG196707:MGG196708 MQC196707:MQC196708 MZY196707:MZY196708 NJU196707:NJU196708 NTQ196707:NTQ196708 ODM196707:ODM196708 ONI196707:ONI196708 OXE196707:OXE196708 PHA196707:PHA196708 PQW196707:PQW196708 QAS196707:QAS196708 QKO196707:QKO196708 QUK196707:QUK196708 REG196707:REG196708 ROC196707:ROC196708 RXY196707:RXY196708 SHU196707:SHU196708 SRQ196707:SRQ196708 TBM196707:TBM196708 TLI196707:TLI196708 TVE196707:TVE196708 UFA196707:UFA196708 UOW196707:UOW196708 UYS196707:UYS196708 VIO196707:VIO196708 VSK196707:VSK196708 WCG196707:WCG196708 WMC196707:WMC196708 WVY196707:WVY196708 Q262243:Q262244 JM262243:JM262244 TI262243:TI262244 ADE262243:ADE262244 ANA262243:ANA262244 AWW262243:AWW262244 BGS262243:BGS262244 BQO262243:BQO262244 CAK262243:CAK262244 CKG262243:CKG262244 CUC262243:CUC262244 DDY262243:DDY262244 DNU262243:DNU262244 DXQ262243:DXQ262244 EHM262243:EHM262244 ERI262243:ERI262244 FBE262243:FBE262244 FLA262243:FLA262244 FUW262243:FUW262244 GES262243:GES262244 GOO262243:GOO262244 GYK262243:GYK262244 HIG262243:HIG262244 HSC262243:HSC262244 IBY262243:IBY262244 ILU262243:ILU262244 IVQ262243:IVQ262244 JFM262243:JFM262244 JPI262243:JPI262244 JZE262243:JZE262244 KJA262243:KJA262244 KSW262243:KSW262244 LCS262243:LCS262244 LMO262243:LMO262244 LWK262243:LWK262244 MGG262243:MGG262244 MQC262243:MQC262244 MZY262243:MZY262244 NJU262243:NJU262244 NTQ262243:NTQ262244 ODM262243:ODM262244 ONI262243:ONI262244 OXE262243:OXE262244 PHA262243:PHA262244 PQW262243:PQW262244 QAS262243:QAS262244 QKO262243:QKO262244 QUK262243:QUK262244 REG262243:REG262244 ROC262243:ROC262244 RXY262243:RXY262244 SHU262243:SHU262244 SRQ262243:SRQ262244 TBM262243:TBM262244 TLI262243:TLI262244 TVE262243:TVE262244 UFA262243:UFA262244 UOW262243:UOW262244 UYS262243:UYS262244 VIO262243:VIO262244 VSK262243:VSK262244 WCG262243:WCG262244 WMC262243:WMC262244 WVY262243:WVY262244 Q327779:Q327780 JM327779:JM327780 TI327779:TI327780 ADE327779:ADE327780 ANA327779:ANA327780 AWW327779:AWW327780 BGS327779:BGS327780 BQO327779:BQO327780 CAK327779:CAK327780 CKG327779:CKG327780 CUC327779:CUC327780 DDY327779:DDY327780 DNU327779:DNU327780 DXQ327779:DXQ327780 EHM327779:EHM327780 ERI327779:ERI327780 FBE327779:FBE327780 FLA327779:FLA327780 FUW327779:FUW327780 GES327779:GES327780 GOO327779:GOO327780 GYK327779:GYK327780 HIG327779:HIG327780 HSC327779:HSC327780 IBY327779:IBY327780 ILU327779:ILU327780 IVQ327779:IVQ327780 JFM327779:JFM327780 JPI327779:JPI327780 JZE327779:JZE327780 KJA327779:KJA327780 KSW327779:KSW327780 LCS327779:LCS327780 LMO327779:LMO327780 LWK327779:LWK327780 MGG327779:MGG327780 MQC327779:MQC327780 MZY327779:MZY327780 NJU327779:NJU327780 NTQ327779:NTQ327780 ODM327779:ODM327780 ONI327779:ONI327780 OXE327779:OXE327780 PHA327779:PHA327780 PQW327779:PQW327780 QAS327779:QAS327780 QKO327779:QKO327780 QUK327779:QUK327780 REG327779:REG327780 ROC327779:ROC327780 RXY327779:RXY327780 SHU327779:SHU327780 SRQ327779:SRQ327780 TBM327779:TBM327780 TLI327779:TLI327780 TVE327779:TVE327780 UFA327779:UFA327780 UOW327779:UOW327780 UYS327779:UYS327780 VIO327779:VIO327780 VSK327779:VSK327780 WCG327779:WCG327780 WMC327779:WMC327780 WVY327779:WVY327780 Q393315:Q393316 JM393315:JM393316 TI393315:TI393316 ADE393315:ADE393316 ANA393315:ANA393316 AWW393315:AWW393316 BGS393315:BGS393316 BQO393315:BQO393316 CAK393315:CAK393316 CKG393315:CKG393316 CUC393315:CUC393316 DDY393315:DDY393316 DNU393315:DNU393316 DXQ393315:DXQ393316 EHM393315:EHM393316 ERI393315:ERI393316 FBE393315:FBE393316 FLA393315:FLA393316 FUW393315:FUW393316 GES393315:GES393316 GOO393315:GOO393316 GYK393315:GYK393316 HIG393315:HIG393316 HSC393315:HSC393316 IBY393315:IBY393316 ILU393315:ILU393316 IVQ393315:IVQ393316 JFM393315:JFM393316 JPI393315:JPI393316 JZE393315:JZE393316 KJA393315:KJA393316 KSW393315:KSW393316 LCS393315:LCS393316 LMO393315:LMO393316 LWK393315:LWK393316 MGG393315:MGG393316 MQC393315:MQC393316 MZY393315:MZY393316 NJU393315:NJU393316 NTQ393315:NTQ393316 ODM393315:ODM393316 ONI393315:ONI393316 OXE393315:OXE393316 PHA393315:PHA393316 PQW393315:PQW393316 QAS393315:QAS393316 QKO393315:QKO393316 QUK393315:QUK393316 REG393315:REG393316 ROC393315:ROC393316 RXY393315:RXY393316 SHU393315:SHU393316 SRQ393315:SRQ393316 TBM393315:TBM393316 TLI393315:TLI393316 TVE393315:TVE393316 UFA393315:UFA393316 UOW393315:UOW393316 UYS393315:UYS393316 VIO393315:VIO393316 VSK393315:VSK393316 WCG393315:WCG393316 WMC393315:WMC393316 WVY393315:WVY393316 Q458851:Q458852 JM458851:JM458852 TI458851:TI458852 ADE458851:ADE458852 ANA458851:ANA458852 AWW458851:AWW458852 BGS458851:BGS458852 BQO458851:BQO458852 CAK458851:CAK458852 CKG458851:CKG458852 CUC458851:CUC458852 DDY458851:DDY458852 DNU458851:DNU458852 DXQ458851:DXQ458852 EHM458851:EHM458852 ERI458851:ERI458852 FBE458851:FBE458852 FLA458851:FLA458852 FUW458851:FUW458852 GES458851:GES458852 GOO458851:GOO458852 GYK458851:GYK458852 HIG458851:HIG458852 HSC458851:HSC458852 IBY458851:IBY458852 ILU458851:ILU458852 IVQ458851:IVQ458852 JFM458851:JFM458852 JPI458851:JPI458852 JZE458851:JZE458852 KJA458851:KJA458852 KSW458851:KSW458852 LCS458851:LCS458852 LMO458851:LMO458852 LWK458851:LWK458852 MGG458851:MGG458852 MQC458851:MQC458852 MZY458851:MZY458852 NJU458851:NJU458852 NTQ458851:NTQ458852 ODM458851:ODM458852 ONI458851:ONI458852 OXE458851:OXE458852 PHA458851:PHA458852 PQW458851:PQW458852 QAS458851:QAS458852 QKO458851:QKO458852 QUK458851:QUK458852 REG458851:REG458852 ROC458851:ROC458852 RXY458851:RXY458852 SHU458851:SHU458852 SRQ458851:SRQ458852 TBM458851:TBM458852 TLI458851:TLI458852 TVE458851:TVE458852 UFA458851:UFA458852 UOW458851:UOW458852 UYS458851:UYS458852 VIO458851:VIO458852 VSK458851:VSK458852 WCG458851:WCG458852 WMC458851:WMC458852 WVY458851:WVY458852 Q524387:Q524388 JM524387:JM524388 TI524387:TI524388 ADE524387:ADE524388 ANA524387:ANA524388 AWW524387:AWW524388 BGS524387:BGS524388 BQO524387:BQO524388 CAK524387:CAK524388 CKG524387:CKG524388 CUC524387:CUC524388 DDY524387:DDY524388 DNU524387:DNU524388 DXQ524387:DXQ524388 EHM524387:EHM524388 ERI524387:ERI524388 FBE524387:FBE524388 FLA524387:FLA524388 FUW524387:FUW524388 GES524387:GES524388 GOO524387:GOO524388 GYK524387:GYK524388 HIG524387:HIG524388 HSC524387:HSC524388 IBY524387:IBY524388 ILU524387:ILU524388 IVQ524387:IVQ524388 JFM524387:JFM524388 JPI524387:JPI524388 JZE524387:JZE524388 KJA524387:KJA524388 KSW524387:KSW524388 LCS524387:LCS524388 LMO524387:LMO524388 LWK524387:LWK524388 MGG524387:MGG524388 MQC524387:MQC524388 MZY524387:MZY524388 NJU524387:NJU524388 NTQ524387:NTQ524388 ODM524387:ODM524388 ONI524387:ONI524388 OXE524387:OXE524388 PHA524387:PHA524388 PQW524387:PQW524388 QAS524387:QAS524388 QKO524387:QKO524388 QUK524387:QUK524388 REG524387:REG524388 ROC524387:ROC524388 RXY524387:RXY524388 SHU524387:SHU524388 SRQ524387:SRQ524388 TBM524387:TBM524388 TLI524387:TLI524388 TVE524387:TVE524388 UFA524387:UFA524388 UOW524387:UOW524388 UYS524387:UYS524388 VIO524387:VIO524388 VSK524387:VSK524388 WCG524387:WCG524388 WMC524387:WMC524388 WVY524387:WVY524388 Q589923:Q589924 JM589923:JM589924 TI589923:TI589924 ADE589923:ADE589924 ANA589923:ANA589924 AWW589923:AWW589924 BGS589923:BGS589924 BQO589923:BQO589924 CAK589923:CAK589924 CKG589923:CKG589924 CUC589923:CUC589924 DDY589923:DDY589924 DNU589923:DNU589924 DXQ589923:DXQ589924 EHM589923:EHM589924 ERI589923:ERI589924 FBE589923:FBE589924 FLA589923:FLA589924 FUW589923:FUW589924 GES589923:GES589924 GOO589923:GOO589924 GYK589923:GYK589924 HIG589923:HIG589924 HSC589923:HSC589924 IBY589923:IBY589924 ILU589923:ILU589924 IVQ589923:IVQ589924 JFM589923:JFM589924 JPI589923:JPI589924 JZE589923:JZE589924 KJA589923:KJA589924 KSW589923:KSW589924 LCS589923:LCS589924 LMO589923:LMO589924 LWK589923:LWK589924 MGG589923:MGG589924 MQC589923:MQC589924 MZY589923:MZY589924 NJU589923:NJU589924 NTQ589923:NTQ589924 ODM589923:ODM589924 ONI589923:ONI589924 OXE589923:OXE589924 PHA589923:PHA589924 PQW589923:PQW589924 QAS589923:QAS589924 QKO589923:QKO589924 QUK589923:QUK589924 REG589923:REG589924 ROC589923:ROC589924 RXY589923:RXY589924 SHU589923:SHU589924 SRQ589923:SRQ589924 TBM589923:TBM589924 TLI589923:TLI589924 TVE589923:TVE589924 UFA589923:UFA589924 UOW589923:UOW589924 UYS589923:UYS589924 VIO589923:VIO589924 VSK589923:VSK589924 WCG589923:WCG589924 WMC589923:WMC589924 WVY589923:WVY589924 Q655459:Q655460 JM655459:JM655460 TI655459:TI655460 ADE655459:ADE655460 ANA655459:ANA655460 AWW655459:AWW655460 BGS655459:BGS655460 BQO655459:BQO655460 CAK655459:CAK655460 CKG655459:CKG655460 CUC655459:CUC655460 DDY655459:DDY655460 DNU655459:DNU655460 DXQ655459:DXQ655460 EHM655459:EHM655460 ERI655459:ERI655460 FBE655459:FBE655460 FLA655459:FLA655460 FUW655459:FUW655460 GES655459:GES655460 GOO655459:GOO655460 GYK655459:GYK655460 HIG655459:HIG655460 HSC655459:HSC655460 IBY655459:IBY655460 ILU655459:ILU655460 IVQ655459:IVQ655460 JFM655459:JFM655460 JPI655459:JPI655460 JZE655459:JZE655460 KJA655459:KJA655460 KSW655459:KSW655460 LCS655459:LCS655460 LMO655459:LMO655460 LWK655459:LWK655460 MGG655459:MGG655460 MQC655459:MQC655460 MZY655459:MZY655460 NJU655459:NJU655460 NTQ655459:NTQ655460 ODM655459:ODM655460 ONI655459:ONI655460 OXE655459:OXE655460 PHA655459:PHA655460 PQW655459:PQW655460 QAS655459:QAS655460 QKO655459:QKO655460 QUK655459:QUK655460 REG655459:REG655460 ROC655459:ROC655460 RXY655459:RXY655460 SHU655459:SHU655460 SRQ655459:SRQ655460 TBM655459:TBM655460 TLI655459:TLI655460 TVE655459:TVE655460 UFA655459:UFA655460 UOW655459:UOW655460 UYS655459:UYS655460 VIO655459:VIO655460 VSK655459:VSK655460 WCG655459:WCG655460 WMC655459:WMC655460 WVY655459:WVY655460 Q720995:Q720996 JM720995:JM720996 TI720995:TI720996 ADE720995:ADE720996 ANA720995:ANA720996 AWW720995:AWW720996 BGS720995:BGS720996 BQO720995:BQO720996 CAK720995:CAK720996 CKG720995:CKG720996 CUC720995:CUC720996 DDY720995:DDY720996 DNU720995:DNU720996 DXQ720995:DXQ720996 EHM720995:EHM720996 ERI720995:ERI720996 FBE720995:FBE720996 FLA720995:FLA720996 FUW720995:FUW720996 GES720995:GES720996 GOO720995:GOO720996 GYK720995:GYK720996 HIG720995:HIG720996 HSC720995:HSC720996 IBY720995:IBY720996 ILU720995:ILU720996 IVQ720995:IVQ720996 JFM720995:JFM720996 JPI720995:JPI720996 JZE720995:JZE720996 KJA720995:KJA720996 KSW720995:KSW720996 LCS720995:LCS720996 LMO720995:LMO720996 LWK720995:LWK720996 MGG720995:MGG720996 MQC720995:MQC720996 MZY720995:MZY720996 NJU720995:NJU720996 NTQ720995:NTQ720996 ODM720995:ODM720996 ONI720995:ONI720996 OXE720995:OXE720996 PHA720995:PHA720996 PQW720995:PQW720996 QAS720995:QAS720996 QKO720995:QKO720996 QUK720995:QUK720996 REG720995:REG720996 ROC720995:ROC720996 RXY720995:RXY720996 SHU720995:SHU720996 SRQ720995:SRQ720996 TBM720995:TBM720996 TLI720995:TLI720996 TVE720995:TVE720996 UFA720995:UFA720996 UOW720995:UOW720996 UYS720995:UYS720996 VIO720995:VIO720996 VSK720995:VSK720996 WCG720995:WCG720996 WMC720995:WMC720996 WVY720995:WVY720996 Q786531:Q786532 JM786531:JM786532 TI786531:TI786532 ADE786531:ADE786532 ANA786531:ANA786532 AWW786531:AWW786532 BGS786531:BGS786532 BQO786531:BQO786532 CAK786531:CAK786532 CKG786531:CKG786532 CUC786531:CUC786532 DDY786531:DDY786532 DNU786531:DNU786532 DXQ786531:DXQ786532 EHM786531:EHM786532 ERI786531:ERI786532 FBE786531:FBE786532 FLA786531:FLA786532 FUW786531:FUW786532 GES786531:GES786532 GOO786531:GOO786532 GYK786531:GYK786532 HIG786531:HIG786532 HSC786531:HSC786532 IBY786531:IBY786532 ILU786531:ILU786532 IVQ786531:IVQ786532 JFM786531:JFM786532 JPI786531:JPI786532 JZE786531:JZE786532 KJA786531:KJA786532 KSW786531:KSW786532 LCS786531:LCS786532 LMO786531:LMO786532 LWK786531:LWK786532 MGG786531:MGG786532 MQC786531:MQC786532 MZY786531:MZY786532 NJU786531:NJU786532 NTQ786531:NTQ786532 ODM786531:ODM786532 ONI786531:ONI786532 OXE786531:OXE786532 PHA786531:PHA786532 PQW786531:PQW786532 QAS786531:QAS786532 QKO786531:QKO786532 QUK786531:QUK786532 REG786531:REG786532 ROC786531:ROC786532 RXY786531:RXY786532 SHU786531:SHU786532 SRQ786531:SRQ786532 TBM786531:TBM786532 TLI786531:TLI786532 TVE786531:TVE786532 UFA786531:UFA786532 UOW786531:UOW786532 UYS786531:UYS786532 VIO786531:VIO786532 VSK786531:VSK786532 WCG786531:WCG786532 WMC786531:WMC786532 WVY786531:WVY786532 Q852067:Q852068 JM852067:JM852068 TI852067:TI852068 ADE852067:ADE852068 ANA852067:ANA852068 AWW852067:AWW852068 BGS852067:BGS852068 BQO852067:BQO852068 CAK852067:CAK852068 CKG852067:CKG852068 CUC852067:CUC852068 DDY852067:DDY852068 DNU852067:DNU852068 DXQ852067:DXQ852068 EHM852067:EHM852068 ERI852067:ERI852068 FBE852067:FBE852068 FLA852067:FLA852068 FUW852067:FUW852068 GES852067:GES852068 GOO852067:GOO852068 GYK852067:GYK852068 HIG852067:HIG852068 HSC852067:HSC852068 IBY852067:IBY852068 ILU852067:ILU852068 IVQ852067:IVQ852068 JFM852067:JFM852068 JPI852067:JPI852068 JZE852067:JZE852068 KJA852067:KJA852068 KSW852067:KSW852068 LCS852067:LCS852068 LMO852067:LMO852068 LWK852067:LWK852068 MGG852067:MGG852068 MQC852067:MQC852068 MZY852067:MZY852068 NJU852067:NJU852068 NTQ852067:NTQ852068 ODM852067:ODM852068 ONI852067:ONI852068 OXE852067:OXE852068 PHA852067:PHA852068 PQW852067:PQW852068 QAS852067:QAS852068 QKO852067:QKO852068 QUK852067:QUK852068 REG852067:REG852068 ROC852067:ROC852068 RXY852067:RXY852068 SHU852067:SHU852068 SRQ852067:SRQ852068 TBM852067:TBM852068 TLI852067:TLI852068 TVE852067:TVE852068 UFA852067:UFA852068 UOW852067:UOW852068 UYS852067:UYS852068 VIO852067:VIO852068 VSK852067:VSK852068 WCG852067:WCG852068 WMC852067:WMC852068 WVY852067:WVY852068 Q917603:Q917604 JM917603:JM917604 TI917603:TI917604 ADE917603:ADE917604 ANA917603:ANA917604 AWW917603:AWW917604 BGS917603:BGS917604 BQO917603:BQO917604 CAK917603:CAK917604 CKG917603:CKG917604 CUC917603:CUC917604 DDY917603:DDY917604 DNU917603:DNU917604 DXQ917603:DXQ917604 EHM917603:EHM917604 ERI917603:ERI917604 FBE917603:FBE917604 FLA917603:FLA917604 FUW917603:FUW917604 GES917603:GES917604 GOO917603:GOO917604 GYK917603:GYK917604 HIG917603:HIG917604 HSC917603:HSC917604 IBY917603:IBY917604 ILU917603:ILU917604 IVQ917603:IVQ917604 JFM917603:JFM917604 JPI917603:JPI917604 JZE917603:JZE917604 KJA917603:KJA917604 KSW917603:KSW917604 LCS917603:LCS917604 LMO917603:LMO917604 LWK917603:LWK917604 MGG917603:MGG917604 MQC917603:MQC917604 MZY917603:MZY917604 NJU917603:NJU917604 NTQ917603:NTQ917604 ODM917603:ODM917604 ONI917603:ONI917604 OXE917603:OXE917604 PHA917603:PHA917604 PQW917603:PQW917604 QAS917603:QAS917604 QKO917603:QKO917604 QUK917603:QUK917604 REG917603:REG917604 ROC917603:ROC917604 RXY917603:RXY917604 SHU917603:SHU917604 SRQ917603:SRQ917604 TBM917603:TBM917604 TLI917603:TLI917604 TVE917603:TVE917604 UFA917603:UFA917604 UOW917603:UOW917604 UYS917603:UYS917604 VIO917603:VIO917604 VSK917603:VSK917604 WCG917603:WCG917604 WMC917603:WMC917604 WVY917603:WVY917604 Q983139:Q983140 JM983139:JM983140 TI983139:TI983140 ADE983139:ADE983140 ANA983139:ANA983140 AWW983139:AWW983140 BGS983139:BGS983140 BQO983139:BQO983140 CAK983139:CAK983140 CKG983139:CKG983140 CUC983139:CUC983140 DDY983139:DDY983140 DNU983139:DNU983140 DXQ983139:DXQ983140 EHM983139:EHM983140 ERI983139:ERI983140 FBE983139:FBE983140 FLA983139:FLA983140 FUW983139:FUW983140 GES983139:GES983140 GOO983139:GOO983140 GYK983139:GYK983140 HIG983139:HIG983140 HSC983139:HSC983140 IBY983139:IBY983140 ILU983139:ILU983140 IVQ983139:IVQ983140 JFM983139:JFM983140 JPI983139:JPI983140 JZE983139:JZE983140 KJA983139:KJA983140 KSW983139:KSW983140 LCS983139:LCS983140 LMO983139:LMO983140 LWK983139:LWK983140 MGG983139:MGG983140 MQC983139:MQC983140 MZY983139:MZY983140 NJU983139:NJU983140 NTQ983139:NTQ983140 ODM983139:ODM983140 ONI983139:ONI983140 OXE983139:OXE983140 PHA983139:PHA983140 PQW983139:PQW983140 QAS983139:QAS983140 QKO983139:QKO983140 QUK983139:QUK983140 REG983139:REG983140 ROC983139:ROC983140 RXY983139:RXY983140 SHU983139:SHU983140 SRQ983139:SRQ983140 TBM983139:TBM983140 TLI983139:TLI983140 TVE983139:TVE983140 UFA983139:UFA983140 UOW983139:UOW983140 UYS983139:UYS983140 VIO983139:VIO983140 VSK983139:VSK983140 WCG983139:WCG983140 WMC983139:WMC983140 WVY983139:WVY983140 JQ100:JQ101 TM100:TM101 ADI100:ADI101 ANE100:ANE101 AXA100:AXA101 BGW100:BGW101 BQS100:BQS101 CAO100:CAO101 CKK100:CKK101 CUG100:CUG101 DEC100:DEC101 DNY100:DNY101 DXU100:DXU101 EHQ100:EHQ101 ERM100:ERM101 FBI100:FBI101 FLE100:FLE101 FVA100:FVA101 GEW100:GEW101 GOS100:GOS101 GYO100:GYO101 HIK100:HIK101 HSG100:HSG101 ICC100:ICC101 ILY100:ILY101 IVU100:IVU101 JFQ100:JFQ101 JPM100:JPM101 JZI100:JZI101 KJE100:KJE101 KTA100:KTA101 LCW100:LCW101 LMS100:LMS101 LWO100:LWO101 MGK100:MGK101 MQG100:MQG101 NAC100:NAC101 NJY100:NJY101 NTU100:NTU101 ODQ100:ODQ101 ONM100:ONM101 OXI100:OXI101 PHE100:PHE101 PRA100:PRA101 QAW100:QAW101 QKS100:QKS101 QUO100:QUO101 REK100:REK101 ROG100:ROG101 RYC100:RYC101 SHY100:SHY101 SRU100:SRU101 TBQ100:TBQ101 TLM100:TLM101 TVI100:TVI101 UFE100:UFE101 UPA100:UPA101 UYW100:UYW101 VIS100:VIS101 VSO100:VSO101 WCK100:WCK101 WMG100:WMG101 WWC100:WWC101 U65635:U65636 JQ65635:JQ65636 TM65635:TM65636 ADI65635:ADI65636 ANE65635:ANE65636 AXA65635:AXA65636 BGW65635:BGW65636 BQS65635:BQS65636 CAO65635:CAO65636 CKK65635:CKK65636 CUG65635:CUG65636 DEC65635:DEC65636 DNY65635:DNY65636 DXU65635:DXU65636 EHQ65635:EHQ65636 ERM65635:ERM65636 FBI65635:FBI65636 FLE65635:FLE65636 FVA65635:FVA65636 GEW65635:GEW65636 GOS65635:GOS65636 GYO65635:GYO65636 HIK65635:HIK65636 HSG65635:HSG65636 ICC65635:ICC65636 ILY65635:ILY65636 IVU65635:IVU65636 JFQ65635:JFQ65636 JPM65635:JPM65636 JZI65635:JZI65636 KJE65635:KJE65636 KTA65635:KTA65636 LCW65635:LCW65636 LMS65635:LMS65636 LWO65635:LWO65636 MGK65635:MGK65636 MQG65635:MQG65636 NAC65635:NAC65636 NJY65635:NJY65636 NTU65635:NTU65636 ODQ65635:ODQ65636 ONM65635:ONM65636 OXI65635:OXI65636 PHE65635:PHE65636 PRA65635:PRA65636 QAW65635:QAW65636 QKS65635:QKS65636 QUO65635:QUO65636 REK65635:REK65636 ROG65635:ROG65636 RYC65635:RYC65636 SHY65635:SHY65636 SRU65635:SRU65636 TBQ65635:TBQ65636 TLM65635:TLM65636 TVI65635:TVI65636 UFE65635:UFE65636 UPA65635:UPA65636 UYW65635:UYW65636 VIS65635:VIS65636 VSO65635:VSO65636 WCK65635:WCK65636 WMG65635:WMG65636 WWC65635:WWC65636 U131171:U131172 JQ131171:JQ131172 TM131171:TM131172 ADI131171:ADI131172 ANE131171:ANE131172 AXA131171:AXA131172 BGW131171:BGW131172 BQS131171:BQS131172 CAO131171:CAO131172 CKK131171:CKK131172 CUG131171:CUG131172 DEC131171:DEC131172 DNY131171:DNY131172 DXU131171:DXU131172 EHQ131171:EHQ131172 ERM131171:ERM131172 FBI131171:FBI131172 FLE131171:FLE131172 FVA131171:FVA131172 GEW131171:GEW131172 GOS131171:GOS131172 GYO131171:GYO131172 HIK131171:HIK131172 HSG131171:HSG131172 ICC131171:ICC131172 ILY131171:ILY131172 IVU131171:IVU131172 JFQ131171:JFQ131172 JPM131171:JPM131172 JZI131171:JZI131172 KJE131171:KJE131172 KTA131171:KTA131172 LCW131171:LCW131172 LMS131171:LMS131172 LWO131171:LWO131172 MGK131171:MGK131172 MQG131171:MQG131172 NAC131171:NAC131172 NJY131171:NJY131172 NTU131171:NTU131172 ODQ131171:ODQ131172 ONM131171:ONM131172 OXI131171:OXI131172 PHE131171:PHE131172 PRA131171:PRA131172 QAW131171:QAW131172 QKS131171:QKS131172 QUO131171:QUO131172 REK131171:REK131172 ROG131171:ROG131172 RYC131171:RYC131172 SHY131171:SHY131172 SRU131171:SRU131172 TBQ131171:TBQ131172 TLM131171:TLM131172 TVI131171:TVI131172 UFE131171:UFE131172 UPA131171:UPA131172 UYW131171:UYW131172 VIS131171:VIS131172 VSO131171:VSO131172 WCK131171:WCK131172 WMG131171:WMG131172 WWC131171:WWC131172 U196707:U196708 JQ196707:JQ196708 TM196707:TM196708 ADI196707:ADI196708 ANE196707:ANE196708 AXA196707:AXA196708 BGW196707:BGW196708 BQS196707:BQS196708 CAO196707:CAO196708 CKK196707:CKK196708 CUG196707:CUG196708 DEC196707:DEC196708 DNY196707:DNY196708 DXU196707:DXU196708 EHQ196707:EHQ196708 ERM196707:ERM196708 FBI196707:FBI196708 FLE196707:FLE196708 FVA196707:FVA196708 GEW196707:GEW196708 GOS196707:GOS196708 GYO196707:GYO196708 HIK196707:HIK196708 HSG196707:HSG196708 ICC196707:ICC196708 ILY196707:ILY196708 IVU196707:IVU196708 JFQ196707:JFQ196708 JPM196707:JPM196708 JZI196707:JZI196708 KJE196707:KJE196708 KTA196707:KTA196708 LCW196707:LCW196708 LMS196707:LMS196708 LWO196707:LWO196708 MGK196707:MGK196708 MQG196707:MQG196708 NAC196707:NAC196708 NJY196707:NJY196708 NTU196707:NTU196708 ODQ196707:ODQ196708 ONM196707:ONM196708 OXI196707:OXI196708 PHE196707:PHE196708 PRA196707:PRA196708 QAW196707:QAW196708 QKS196707:QKS196708 QUO196707:QUO196708 REK196707:REK196708 ROG196707:ROG196708 RYC196707:RYC196708 SHY196707:SHY196708 SRU196707:SRU196708 TBQ196707:TBQ196708 TLM196707:TLM196708 TVI196707:TVI196708 UFE196707:UFE196708 UPA196707:UPA196708 UYW196707:UYW196708 VIS196707:VIS196708 VSO196707:VSO196708 WCK196707:WCK196708 WMG196707:WMG196708 WWC196707:WWC196708 U262243:U262244 JQ262243:JQ262244 TM262243:TM262244 ADI262243:ADI262244 ANE262243:ANE262244 AXA262243:AXA262244 BGW262243:BGW262244 BQS262243:BQS262244 CAO262243:CAO262244 CKK262243:CKK262244 CUG262243:CUG262244 DEC262243:DEC262244 DNY262243:DNY262244 DXU262243:DXU262244 EHQ262243:EHQ262244 ERM262243:ERM262244 FBI262243:FBI262244 FLE262243:FLE262244 FVA262243:FVA262244 GEW262243:GEW262244 GOS262243:GOS262244 GYO262243:GYO262244 HIK262243:HIK262244 HSG262243:HSG262244 ICC262243:ICC262244 ILY262243:ILY262244 IVU262243:IVU262244 JFQ262243:JFQ262244 JPM262243:JPM262244 JZI262243:JZI262244 KJE262243:KJE262244 KTA262243:KTA262244 LCW262243:LCW262244 LMS262243:LMS262244 LWO262243:LWO262244 MGK262243:MGK262244 MQG262243:MQG262244 NAC262243:NAC262244 NJY262243:NJY262244 NTU262243:NTU262244 ODQ262243:ODQ262244 ONM262243:ONM262244 OXI262243:OXI262244 PHE262243:PHE262244 PRA262243:PRA262244 QAW262243:QAW262244 QKS262243:QKS262244 QUO262243:QUO262244 REK262243:REK262244 ROG262243:ROG262244 RYC262243:RYC262244 SHY262243:SHY262244 SRU262243:SRU262244 TBQ262243:TBQ262244 TLM262243:TLM262244 TVI262243:TVI262244 UFE262243:UFE262244 UPA262243:UPA262244 UYW262243:UYW262244 VIS262243:VIS262244 VSO262243:VSO262244 WCK262243:WCK262244 WMG262243:WMG262244 WWC262243:WWC262244 U327779:U327780 JQ327779:JQ327780 TM327779:TM327780 ADI327779:ADI327780 ANE327779:ANE327780 AXA327779:AXA327780 BGW327779:BGW327780 BQS327779:BQS327780 CAO327779:CAO327780 CKK327779:CKK327780 CUG327779:CUG327780 DEC327779:DEC327780 DNY327779:DNY327780 DXU327779:DXU327780 EHQ327779:EHQ327780 ERM327779:ERM327780 FBI327779:FBI327780 FLE327779:FLE327780 FVA327779:FVA327780 GEW327779:GEW327780 GOS327779:GOS327780 GYO327779:GYO327780 HIK327779:HIK327780 HSG327779:HSG327780 ICC327779:ICC327780 ILY327779:ILY327780 IVU327779:IVU327780 JFQ327779:JFQ327780 JPM327779:JPM327780 JZI327779:JZI327780 KJE327779:KJE327780 KTA327779:KTA327780 LCW327779:LCW327780 LMS327779:LMS327780 LWO327779:LWO327780 MGK327779:MGK327780 MQG327779:MQG327780 NAC327779:NAC327780 NJY327779:NJY327780 NTU327779:NTU327780 ODQ327779:ODQ327780 ONM327779:ONM327780 OXI327779:OXI327780 PHE327779:PHE327780 PRA327779:PRA327780 QAW327779:QAW327780 QKS327779:QKS327780 QUO327779:QUO327780 REK327779:REK327780 ROG327779:ROG327780 RYC327779:RYC327780 SHY327779:SHY327780 SRU327779:SRU327780 TBQ327779:TBQ327780 TLM327779:TLM327780 TVI327779:TVI327780 UFE327779:UFE327780 UPA327779:UPA327780 UYW327779:UYW327780 VIS327779:VIS327780 VSO327779:VSO327780 WCK327779:WCK327780 WMG327779:WMG327780 WWC327779:WWC327780 U393315:U393316 JQ393315:JQ393316 TM393315:TM393316 ADI393315:ADI393316 ANE393315:ANE393316 AXA393315:AXA393316 BGW393315:BGW393316 BQS393315:BQS393316 CAO393315:CAO393316 CKK393315:CKK393316 CUG393315:CUG393316 DEC393315:DEC393316 DNY393315:DNY393316 DXU393315:DXU393316 EHQ393315:EHQ393316 ERM393315:ERM393316 FBI393315:FBI393316 FLE393315:FLE393316 FVA393315:FVA393316 GEW393315:GEW393316 GOS393315:GOS393316 GYO393315:GYO393316 HIK393315:HIK393316 HSG393315:HSG393316 ICC393315:ICC393316 ILY393315:ILY393316 IVU393315:IVU393316 JFQ393315:JFQ393316 JPM393315:JPM393316 JZI393315:JZI393316 KJE393315:KJE393316 KTA393315:KTA393316 LCW393315:LCW393316 LMS393315:LMS393316 LWO393315:LWO393316 MGK393315:MGK393316 MQG393315:MQG393316 NAC393315:NAC393316 NJY393315:NJY393316 NTU393315:NTU393316 ODQ393315:ODQ393316 ONM393315:ONM393316 OXI393315:OXI393316 PHE393315:PHE393316 PRA393315:PRA393316 QAW393315:QAW393316 QKS393315:QKS393316 QUO393315:QUO393316 REK393315:REK393316 ROG393315:ROG393316 RYC393315:RYC393316 SHY393315:SHY393316 SRU393315:SRU393316 TBQ393315:TBQ393316 TLM393315:TLM393316 TVI393315:TVI393316 UFE393315:UFE393316 UPA393315:UPA393316 UYW393315:UYW393316 VIS393315:VIS393316 VSO393315:VSO393316 WCK393315:WCK393316 WMG393315:WMG393316 WWC393315:WWC393316 U458851:U458852 JQ458851:JQ458852 TM458851:TM458852 ADI458851:ADI458852 ANE458851:ANE458852 AXA458851:AXA458852 BGW458851:BGW458852 BQS458851:BQS458852 CAO458851:CAO458852 CKK458851:CKK458852 CUG458851:CUG458852 DEC458851:DEC458852 DNY458851:DNY458852 DXU458851:DXU458852 EHQ458851:EHQ458852 ERM458851:ERM458852 FBI458851:FBI458852 FLE458851:FLE458852 FVA458851:FVA458852 GEW458851:GEW458852 GOS458851:GOS458852 GYO458851:GYO458852 HIK458851:HIK458852 HSG458851:HSG458852 ICC458851:ICC458852 ILY458851:ILY458852 IVU458851:IVU458852 JFQ458851:JFQ458852 JPM458851:JPM458852 JZI458851:JZI458852 KJE458851:KJE458852 KTA458851:KTA458852 LCW458851:LCW458852 LMS458851:LMS458852 LWO458851:LWO458852 MGK458851:MGK458852 MQG458851:MQG458852 NAC458851:NAC458852 NJY458851:NJY458852 NTU458851:NTU458852 ODQ458851:ODQ458852 ONM458851:ONM458852 OXI458851:OXI458852 PHE458851:PHE458852 PRA458851:PRA458852 QAW458851:QAW458852 QKS458851:QKS458852 QUO458851:QUO458852 REK458851:REK458852 ROG458851:ROG458852 RYC458851:RYC458852 SHY458851:SHY458852 SRU458851:SRU458852 TBQ458851:TBQ458852 TLM458851:TLM458852 TVI458851:TVI458852 UFE458851:UFE458852 UPA458851:UPA458852 UYW458851:UYW458852 VIS458851:VIS458852 VSO458851:VSO458852 WCK458851:WCK458852 WMG458851:WMG458852 WWC458851:WWC458852 U524387:U524388 JQ524387:JQ524388 TM524387:TM524388 ADI524387:ADI524388 ANE524387:ANE524388 AXA524387:AXA524388 BGW524387:BGW524388 BQS524387:BQS524388 CAO524387:CAO524388 CKK524387:CKK524388 CUG524387:CUG524388 DEC524387:DEC524388 DNY524387:DNY524388 DXU524387:DXU524388 EHQ524387:EHQ524388 ERM524387:ERM524388 FBI524387:FBI524388 FLE524387:FLE524388 FVA524387:FVA524388 GEW524387:GEW524388 GOS524387:GOS524388 GYO524387:GYO524388 HIK524387:HIK524388 HSG524387:HSG524388 ICC524387:ICC524388 ILY524387:ILY524388 IVU524387:IVU524388 JFQ524387:JFQ524388 JPM524387:JPM524388 JZI524387:JZI524388 KJE524387:KJE524388 KTA524387:KTA524388 LCW524387:LCW524388 LMS524387:LMS524388 LWO524387:LWO524388 MGK524387:MGK524388 MQG524387:MQG524388 NAC524387:NAC524388 NJY524387:NJY524388 NTU524387:NTU524388 ODQ524387:ODQ524388 ONM524387:ONM524388 OXI524387:OXI524388 PHE524387:PHE524388 PRA524387:PRA524388 QAW524387:QAW524388 QKS524387:QKS524388 QUO524387:QUO524388 REK524387:REK524388 ROG524387:ROG524388 RYC524387:RYC524388 SHY524387:SHY524388 SRU524387:SRU524388 TBQ524387:TBQ524388 TLM524387:TLM524388 TVI524387:TVI524388 UFE524387:UFE524388 UPA524387:UPA524388 UYW524387:UYW524388 VIS524387:VIS524388 VSO524387:VSO524388 WCK524387:WCK524388 WMG524387:WMG524388 WWC524387:WWC524388 U589923:U589924 JQ589923:JQ589924 TM589923:TM589924 ADI589923:ADI589924 ANE589923:ANE589924 AXA589923:AXA589924 BGW589923:BGW589924 BQS589923:BQS589924 CAO589923:CAO589924 CKK589923:CKK589924 CUG589923:CUG589924 DEC589923:DEC589924 DNY589923:DNY589924 DXU589923:DXU589924 EHQ589923:EHQ589924 ERM589923:ERM589924 FBI589923:FBI589924 FLE589923:FLE589924 FVA589923:FVA589924 GEW589923:GEW589924 GOS589923:GOS589924 GYO589923:GYO589924 HIK589923:HIK589924 HSG589923:HSG589924 ICC589923:ICC589924 ILY589923:ILY589924 IVU589923:IVU589924 JFQ589923:JFQ589924 JPM589923:JPM589924 JZI589923:JZI589924 KJE589923:KJE589924 KTA589923:KTA589924 LCW589923:LCW589924 LMS589923:LMS589924 LWO589923:LWO589924 MGK589923:MGK589924 MQG589923:MQG589924 NAC589923:NAC589924 NJY589923:NJY589924 NTU589923:NTU589924 ODQ589923:ODQ589924 ONM589923:ONM589924 OXI589923:OXI589924 PHE589923:PHE589924 PRA589923:PRA589924 QAW589923:QAW589924 QKS589923:QKS589924 QUO589923:QUO589924 REK589923:REK589924 ROG589923:ROG589924 RYC589923:RYC589924 SHY589923:SHY589924 SRU589923:SRU589924 TBQ589923:TBQ589924 TLM589923:TLM589924 TVI589923:TVI589924 UFE589923:UFE589924 UPA589923:UPA589924 UYW589923:UYW589924 VIS589923:VIS589924 VSO589923:VSO589924 WCK589923:WCK589924 WMG589923:WMG589924 WWC589923:WWC589924 U655459:U655460 JQ655459:JQ655460 TM655459:TM655460 ADI655459:ADI655460 ANE655459:ANE655460 AXA655459:AXA655460 BGW655459:BGW655460 BQS655459:BQS655460 CAO655459:CAO655460 CKK655459:CKK655460 CUG655459:CUG655460 DEC655459:DEC655460 DNY655459:DNY655460 DXU655459:DXU655460 EHQ655459:EHQ655460 ERM655459:ERM655460 FBI655459:FBI655460 FLE655459:FLE655460 FVA655459:FVA655460 GEW655459:GEW655460 GOS655459:GOS655460 GYO655459:GYO655460 HIK655459:HIK655460 HSG655459:HSG655460 ICC655459:ICC655460 ILY655459:ILY655460 IVU655459:IVU655460 JFQ655459:JFQ655460 JPM655459:JPM655460 JZI655459:JZI655460 KJE655459:KJE655460 KTA655459:KTA655460 LCW655459:LCW655460 LMS655459:LMS655460 LWO655459:LWO655460 MGK655459:MGK655460 MQG655459:MQG655460 NAC655459:NAC655460 NJY655459:NJY655460 NTU655459:NTU655460 ODQ655459:ODQ655460 ONM655459:ONM655460 OXI655459:OXI655460 PHE655459:PHE655460 PRA655459:PRA655460 QAW655459:QAW655460 QKS655459:QKS655460 QUO655459:QUO655460 REK655459:REK655460 ROG655459:ROG655460 RYC655459:RYC655460 SHY655459:SHY655460 SRU655459:SRU655460 TBQ655459:TBQ655460 TLM655459:TLM655460 TVI655459:TVI655460 UFE655459:UFE655460 UPA655459:UPA655460 UYW655459:UYW655460 VIS655459:VIS655460 VSO655459:VSO655460 WCK655459:WCK655460 WMG655459:WMG655460 WWC655459:WWC655460 U720995:U720996 JQ720995:JQ720996 TM720995:TM720996 ADI720995:ADI720996 ANE720995:ANE720996 AXA720995:AXA720996 BGW720995:BGW720996 BQS720995:BQS720996 CAO720995:CAO720996 CKK720995:CKK720996 CUG720995:CUG720996 DEC720995:DEC720996 DNY720995:DNY720996 DXU720995:DXU720996 EHQ720995:EHQ720996 ERM720995:ERM720996 FBI720995:FBI720996 FLE720995:FLE720996 FVA720995:FVA720996 GEW720995:GEW720996 GOS720995:GOS720996 GYO720995:GYO720996 HIK720995:HIK720996 HSG720995:HSG720996 ICC720995:ICC720996 ILY720995:ILY720996 IVU720995:IVU720996 JFQ720995:JFQ720996 JPM720995:JPM720996 JZI720995:JZI720996 KJE720995:KJE720996 KTA720995:KTA720996 LCW720995:LCW720996 LMS720995:LMS720996 LWO720995:LWO720996 MGK720995:MGK720996 MQG720995:MQG720996 NAC720995:NAC720996 NJY720995:NJY720996 NTU720995:NTU720996 ODQ720995:ODQ720996 ONM720995:ONM720996 OXI720995:OXI720996 PHE720995:PHE720996 PRA720995:PRA720996 QAW720995:QAW720996 QKS720995:QKS720996 QUO720995:QUO720996 REK720995:REK720996 ROG720995:ROG720996 RYC720995:RYC720996 SHY720995:SHY720996 SRU720995:SRU720996 TBQ720995:TBQ720996 TLM720995:TLM720996 TVI720995:TVI720996 UFE720995:UFE720996 UPA720995:UPA720996 UYW720995:UYW720996 VIS720995:VIS720996 VSO720995:VSO720996 WCK720995:WCK720996 WMG720995:WMG720996 WWC720995:WWC720996 U786531:U786532 JQ786531:JQ786532 TM786531:TM786532 ADI786531:ADI786532 ANE786531:ANE786532 AXA786531:AXA786532 BGW786531:BGW786532 BQS786531:BQS786532 CAO786531:CAO786532 CKK786531:CKK786532 CUG786531:CUG786532 DEC786531:DEC786532 DNY786531:DNY786532 DXU786531:DXU786532 EHQ786531:EHQ786532 ERM786531:ERM786532 FBI786531:FBI786532 FLE786531:FLE786532 FVA786531:FVA786532 GEW786531:GEW786532 GOS786531:GOS786532 GYO786531:GYO786532 HIK786531:HIK786532 HSG786531:HSG786532 ICC786531:ICC786532 ILY786531:ILY786532 IVU786531:IVU786532 JFQ786531:JFQ786532 JPM786531:JPM786532 JZI786531:JZI786532 KJE786531:KJE786532 KTA786531:KTA786532 LCW786531:LCW786532 LMS786531:LMS786532 LWO786531:LWO786532 MGK786531:MGK786532 MQG786531:MQG786532 NAC786531:NAC786532 NJY786531:NJY786532 NTU786531:NTU786532 ODQ786531:ODQ786532 ONM786531:ONM786532 OXI786531:OXI786532 PHE786531:PHE786532 PRA786531:PRA786532 QAW786531:QAW786532 QKS786531:QKS786532 QUO786531:QUO786532 REK786531:REK786532 ROG786531:ROG786532 RYC786531:RYC786532 SHY786531:SHY786532 SRU786531:SRU786532 TBQ786531:TBQ786532 TLM786531:TLM786532 TVI786531:TVI786532 UFE786531:UFE786532 UPA786531:UPA786532 UYW786531:UYW786532 VIS786531:VIS786532 VSO786531:VSO786532 WCK786531:WCK786532 WMG786531:WMG786532 WWC786531:WWC786532 U852067:U852068 JQ852067:JQ852068 TM852067:TM852068 ADI852067:ADI852068 ANE852067:ANE852068 AXA852067:AXA852068 BGW852067:BGW852068 BQS852067:BQS852068 CAO852067:CAO852068 CKK852067:CKK852068 CUG852067:CUG852068 DEC852067:DEC852068 DNY852067:DNY852068 DXU852067:DXU852068 EHQ852067:EHQ852068 ERM852067:ERM852068 FBI852067:FBI852068 FLE852067:FLE852068 FVA852067:FVA852068 GEW852067:GEW852068 GOS852067:GOS852068 GYO852067:GYO852068 HIK852067:HIK852068 HSG852067:HSG852068 ICC852067:ICC852068 ILY852067:ILY852068 IVU852067:IVU852068 JFQ852067:JFQ852068 JPM852067:JPM852068 JZI852067:JZI852068 KJE852067:KJE852068 KTA852067:KTA852068 LCW852067:LCW852068 LMS852067:LMS852068 LWO852067:LWO852068 MGK852067:MGK852068 MQG852067:MQG852068 NAC852067:NAC852068 NJY852067:NJY852068 NTU852067:NTU852068 ODQ852067:ODQ852068 ONM852067:ONM852068 OXI852067:OXI852068 PHE852067:PHE852068 PRA852067:PRA852068 QAW852067:QAW852068 QKS852067:QKS852068 QUO852067:QUO852068 REK852067:REK852068 ROG852067:ROG852068 RYC852067:RYC852068 SHY852067:SHY852068 SRU852067:SRU852068 TBQ852067:TBQ852068 TLM852067:TLM852068 TVI852067:TVI852068 UFE852067:UFE852068 UPA852067:UPA852068 UYW852067:UYW852068 VIS852067:VIS852068 VSO852067:VSO852068 WCK852067:WCK852068 WMG852067:WMG852068 WWC852067:WWC852068 U917603:U917604 JQ917603:JQ917604 TM917603:TM917604 ADI917603:ADI917604 ANE917603:ANE917604 AXA917603:AXA917604 BGW917603:BGW917604 BQS917603:BQS917604 CAO917603:CAO917604 CKK917603:CKK917604 CUG917603:CUG917604 DEC917603:DEC917604 DNY917603:DNY917604 DXU917603:DXU917604 EHQ917603:EHQ917604 ERM917603:ERM917604 FBI917603:FBI917604 FLE917603:FLE917604 FVA917603:FVA917604 GEW917603:GEW917604 GOS917603:GOS917604 GYO917603:GYO917604 HIK917603:HIK917604 HSG917603:HSG917604 ICC917603:ICC917604 ILY917603:ILY917604 IVU917603:IVU917604 JFQ917603:JFQ917604 JPM917603:JPM917604 JZI917603:JZI917604 KJE917603:KJE917604 KTA917603:KTA917604 LCW917603:LCW917604 LMS917603:LMS917604 LWO917603:LWO917604 MGK917603:MGK917604 MQG917603:MQG917604 NAC917603:NAC917604 NJY917603:NJY917604 NTU917603:NTU917604 ODQ917603:ODQ917604 ONM917603:ONM917604 OXI917603:OXI917604 PHE917603:PHE917604 PRA917603:PRA917604 QAW917603:QAW917604 QKS917603:QKS917604 QUO917603:QUO917604 REK917603:REK917604 ROG917603:ROG917604 RYC917603:RYC917604 SHY917603:SHY917604 SRU917603:SRU917604 TBQ917603:TBQ917604 TLM917603:TLM917604 TVI917603:TVI917604 UFE917603:UFE917604 UPA917603:UPA917604 UYW917603:UYW917604 VIS917603:VIS917604 VSO917603:VSO917604 WCK917603:WCK917604 WMG917603:WMG917604 WWC917603:WWC917604 U983139:U983140 JQ983139:JQ983140 TM983139:TM983140 ADI983139:ADI983140 ANE983139:ANE983140 AXA983139:AXA983140 BGW983139:BGW983140 BQS983139:BQS983140 CAO983139:CAO983140 CKK983139:CKK983140 CUG983139:CUG983140 DEC983139:DEC983140 DNY983139:DNY983140 DXU983139:DXU983140 EHQ983139:EHQ983140 ERM983139:ERM983140 FBI983139:FBI983140 FLE983139:FLE983140 FVA983139:FVA983140 GEW983139:GEW983140 GOS983139:GOS983140 GYO983139:GYO983140 HIK983139:HIK983140 HSG983139:HSG983140 ICC983139:ICC983140 ILY983139:ILY983140 IVU983139:IVU983140 JFQ983139:JFQ983140 JPM983139:JPM983140 JZI983139:JZI983140 KJE983139:KJE983140 KTA983139:KTA983140 LCW983139:LCW983140 LMS983139:LMS983140 LWO983139:LWO983140 MGK983139:MGK983140 MQG983139:MQG983140 NAC983139:NAC983140 NJY983139:NJY983140 NTU983139:NTU983140 ODQ983139:ODQ983140 ONM983139:ONM983140 OXI983139:OXI983140 PHE983139:PHE983140 PRA983139:PRA983140 QAW983139:QAW983140 QKS983139:QKS983140 QUO983139:QUO983140 REK983139:REK983140 ROG983139:ROG983140 RYC983139:RYC983140 SHY983139:SHY983140 SRU983139:SRU983140 TBQ983139:TBQ983140 TLM983139:TLM983140 TVI983139:TVI983140 UFE983139:UFE983140 UPA983139:UPA983140 UYW983139:UYW983140 VIS983139:VIS983140 VSO983139:VSO983140 WCK983139:WCK983140 WMG983139:WMG983140 WWC983139:WWC983140 FBC71:FBC77 JB102:JB103 SX102:SX103 ACT102:ACT103 AMP102:AMP103 AWL102:AWL103 BGH102:BGH103 BQD102:BQD103 BZZ102:BZZ103 CJV102:CJV103 CTR102:CTR103 DDN102:DDN103 DNJ102:DNJ103 DXF102:DXF103 EHB102:EHB103 EQX102:EQX103 FAT102:FAT103 FKP102:FKP103 FUL102:FUL103 GEH102:GEH103 GOD102:GOD103 GXZ102:GXZ103 HHV102:HHV103 HRR102:HRR103 IBN102:IBN103 ILJ102:ILJ103 IVF102:IVF103 JFB102:JFB103 JOX102:JOX103 JYT102:JYT103 KIP102:KIP103 KSL102:KSL103 LCH102:LCH103 LMD102:LMD103 LVZ102:LVZ103 MFV102:MFV103 MPR102:MPR103 MZN102:MZN103 NJJ102:NJJ103 NTF102:NTF103 ODB102:ODB103 OMX102:OMX103 OWT102:OWT103 PGP102:PGP103 PQL102:PQL103 QAH102:QAH103 QKD102:QKD103 QTZ102:QTZ103 RDV102:RDV103 RNR102:RNR103 RXN102:RXN103 SHJ102:SHJ103 SRF102:SRF103 TBB102:TBB103 TKX102:TKX103 TUT102:TUT103 UEP102:UEP103 UOL102:UOL103 UYH102:UYH103 VID102:VID103 VRZ102:VRZ103 WBV102:WBV103 WLR102:WLR103 WVN102:WVN103 F65637:F65638 JB65637:JB65638 SX65637:SX65638 ACT65637:ACT65638 AMP65637:AMP65638 AWL65637:AWL65638 BGH65637:BGH65638 BQD65637:BQD65638 BZZ65637:BZZ65638 CJV65637:CJV65638 CTR65637:CTR65638 DDN65637:DDN65638 DNJ65637:DNJ65638 DXF65637:DXF65638 EHB65637:EHB65638 EQX65637:EQX65638 FAT65637:FAT65638 FKP65637:FKP65638 FUL65637:FUL65638 GEH65637:GEH65638 GOD65637:GOD65638 GXZ65637:GXZ65638 HHV65637:HHV65638 HRR65637:HRR65638 IBN65637:IBN65638 ILJ65637:ILJ65638 IVF65637:IVF65638 JFB65637:JFB65638 JOX65637:JOX65638 JYT65637:JYT65638 KIP65637:KIP65638 KSL65637:KSL65638 LCH65637:LCH65638 LMD65637:LMD65638 LVZ65637:LVZ65638 MFV65637:MFV65638 MPR65637:MPR65638 MZN65637:MZN65638 NJJ65637:NJJ65638 NTF65637:NTF65638 ODB65637:ODB65638 OMX65637:OMX65638 OWT65637:OWT65638 PGP65637:PGP65638 PQL65637:PQL65638 QAH65637:QAH65638 QKD65637:QKD65638 QTZ65637:QTZ65638 RDV65637:RDV65638 RNR65637:RNR65638 RXN65637:RXN65638 SHJ65637:SHJ65638 SRF65637:SRF65638 TBB65637:TBB65638 TKX65637:TKX65638 TUT65637:TUT65638 UEP65637:UEP65638 UOL65637:UOL65638 UYH65637:UYH65638 VID65637:VID65638 VRZ65637:VRZ65638 WBV65637:WBV65638 WLR65637:WLR65638 WVN65637:WVN65638 F131173:F131174 JB131173:JB131174 SX131173:SX131174 ACT131173:ACT131174 AMP131173:AMP131174 AWL131173:AWL131174 BGH131173:BGH131174 BQD131173:BQD131174 BZZ131173:BZZ131174 CJV131173:CJV131174 CTR131173:CTR131174 DDN131173:DDN131174 DNJ131173:DNJ131174 DXF131173:DXF131174 EHB131173:EHB131174 EQX131173:EQX131174 FAT131173:FAT131174 FKP131173:FKP131174 FUL131173:FUL131174 GEH131173:GEH131174 GOD131173:GOD131174 GXZ131173:GXZ131174 HHV131173:HHV131174 HRR131173:HRR131174 IBN131173:IBN131174 ILJ131173:ILJ131174 IVF131173:IVF131174 JFB131173:JFB131174 JOX131173:JOX131174 JYT131173:JYT131174 KIP131173:KIP131174 KSL131173:KSL131174 LCH131173:LCH131174 LMD131173:LMD131174 LVZ131173:LVZ131174 MFV131173:MFV131174 MPR131173:MPR131174 MZN131173:MZN131174 NJJ131173:NJJ131174 NTF131173:NTF131174 ODB131173:ODB131174 OMX131173:OMX131174 OWT131173:OWT131174 PGP131173:PGP131174 PQL131173:PQL131174 QAH131173:QAH131174 QKD131173:QKD131174 QTZ131173:QTZ131174 RDV131173:RDV131174 RNR131173:RNR131174 RXN131173:RXN131174 SHJ131173:SHJ131174 SRF131173:SRF131174 TBB131173:TBB131174 TKX131173:TKX131174 TUT131173:TUT131174 UEP131173:UEP131174 UOL131173:UOL131174 UYH131173:UYH131174 VID131173:VID131174 VRZ131173:VRZ131174 WBV131173:WBV131174 WLR131173:WLR131174 WVN131173:WVN131174 F196709:F196710 JB196709:JB196710 SX196709:SX196710 ACT196709:ACT196710 AMP196709:AMP196710 AWL196709:AWL196710 BGH196709:BGH196710 BQD196709:BQD196710 BZZ196709:BZZ196710 CJV196709:CJV196710 CTR196709:CTR196710 DDN196709:DDN196710 DNJ196709:DNJ196710 DXF196709:DXF196710 EHB196709:EHB196710 EQX196709:EQX196710 FAT196709:FAT196710 FKP196709:FKP196710 FUL196709:FUL196710 GEH196709:GEH196710 GOD196709:GOD196710 GXZ196709:GXZ196710 HHV196709:HHV196710 HRR196709:HRR196710 IBN196709:IBN196710 ILJ196709:ILJ196710 IVF196709:IVF196710 JFB196709:JFB196710 JOX196709:JOX196710 JYT196709:JYT196710 KIP196709:KIP196710 KSL196709:KSL196710 LCH196709:LCH196710 LMD196709:LMD196710 LVZ196709:LVZ196710 MFV196709:MFV196710 MPR196709:MPR196710 MZN196709:MZN196710 NJJ196709:NJJ196710 NTF196709:NTF196710 ODB196709:ODB196710 OMX196709:OMX196710 OWT196709:OWT196710 PGP196709:PGP196710 PQL196709:PQL196710 QAH196709:QAH196710 QKD196709:QKD196710 QTZ196709:QTZ196710 RDV196709:RDV196710 RNR196709:RNR196710 RXN196709:RXN196710 SHJ196709:SHJ196710 SRF196709:SRF196710 TBB196709:TBB196710 TKX196709:TKX196710 TUT196709:TUT196710 UEP196709:UEP196710 UOL196709:UOL196710 UYH196709:UYH196710 VID196709:VID196710 VRZ196709:VRZ196710 WBV196709:WBV196710 WLR196709:WLR196710 WVN196709:WVN196710 F262245:F262246 JB262245:JB262246 SX262245:SX262246 ACT262245:ACT262246 AMP262245:AMP262246 AWL262245:AWL262246 BGH262245:BGH262246 BQD262245:BQD262246 BZZ262245:BZZ262246 CJV262245:CJV262246 CTR262245:CTR262246 DDN262245:DDN262246 DNJ262245:DNJ262246 DXF262245:DXF262246 EHB262245:EHB262246 EQX262245:EQX262246 FAT262245:FAT262246 FKP262245:FKP262246 FUL262245:FUL262246 GEH262245:GEH262246 GOD262245:GOD262246 GXZ262245:GXZ262246 HHV262245:HHV262246 HRR262245:HRR262246 IBN262245:IBN262246 ILJ262245:ILJ262246 IVF262245:IVF262246 JFB262245:JFB262246 JOX262245:JOX262246 JYT262245:JYT262246 KIP262245:KIP262246 KSL262245:KSL262246 LCH262245:LCH262246 LMD262245:LMD262246 LVZ262245:LVZ262246 MFV262245:MFV262246 MPR262245:MPR262246 MZN262245:MZN262246 NJJ262245:NJJ262246 NTF262245:NTF262246 ODB262245:ODB262246 OMX262245:OMX262246 OWT262245:OWT262246 PGP262245:PGP262246 PQL262245:PQL262246 QAH262245:QAH262246 QKD262245:QKD262246 QTZ262245:QTZ262246 RDV262245:RDV262246 RNR262245:RNR262246 RXN262245:RXN262246 SHJ262245:SHJ262246 SRF262245:SRF262246 TBB262245:TBB262246 TKX262245:TKX262246 TUT262245:TUT262246 UEP262245:UEP262246 UOL262245:UOL262246 UYH262245:UYH262246 VID262245:VID262246 VRZ262245:VRZ262246 WBV262245:WBV262246 WLR262245:WLR262246 WVN262245:WVN262246 F327781:F327782 JB327781:JB327782 SX327781:SX327782 ACT327781:ACT327782 AMP327781:AMP327782 AWL327781:AWL327782 BGH327781:BGH327782 BQD327781:BQD327782 BZZ327781:BZZ327782 CJV327781:CJV327782 CTR327781:CTR327782 DDN327781:DDN327782 DNJ327781:DNJ327782 DXF327781:DXF327782 EHB327781:EHB327782 EQX327781:EQX327782 FAT327781:FAT327782 FKP327781:FKP327782 FUL327781:FUL327782 GEH327781:GEH327782 GOD327781:GOD327782 GXZ327781:GXZ327782 HHV327781:HHV327782 HRR327781:HRR327782 IBN327781:IBN327782 ILJ327781:ILJ327782 IVF327781:IVF327782 JFB327781:JFB327782 JOX327781:JOX327782 JYT327781:JYT327782 KIP327781:KIP327782 KSL327781:KSL327782 LCH327781:LCH327782 LMD327781:LMD327782 LVZ327781:LVZ327782 MFV327781:MFV327782 MPR327781:MPR327782 MZN327781:MZN327782 NJJ327781:NJJ327782 NTF327781:NTF327782 ODB327781:ODB327782 OMX327781:OMX327782 OWT327781:OWT327782 PGP327781:PGP327782 PQL327781:PQL327782 QAH327781:QAH327782 QKD327781:QKD327782 QTZ327781:QTZ327782 RDV327781:RDV327782 RNR327781:RNR327782 RXN327781:RXN327782 SHJ327781:SHJ327782 SRF327781:SRF327782 TBB327781:TBB327782 TKX327781:TKX327782 TUT327781:TUT327782 UEP327781:UEP327782 UOL327781:UOL327782 UYH327781:UYH327782 VID327781:VID327782 VRZ327781:VRZ327782 WBV327781:WBV327782 WLR327781:WLR327782 WVN327781:WVN327782 F393317:F393318 JB393317:JB393318 SX393317:SX393318 ACT393317:ACT393318 AMP393317:AMP393318 AWL393317:AWL393318 BGH393317:BGH393318 BQD393317:BQD393318 BZZ393317:BZZ393318 CJV393317:CJV393318 CTR393317:CTR393318 DDN393317:DDN393318 DNJ393317:DNJ393318 DXF393317:DXF393318 EHB393317:EHB393318 EQX393317:EQX393318 FAT393317:FAT393318 FKP393317:FKP393318 FUL393317:FUL393318 GEH393317:GEH393318 GOD393317:GOD393318 GXZ393317:GXZ393318 HHV393317:HHV393318 HRR393317:HRR393318 IBN393317:IBN393318 ILJ393317:ILJ393318 IVF393317:IVF393318 JFB393317:JFB393318 JOX393317:JOX393318 JYT393317:JYT393318 KIP393317:KIP393318 KSL393317:KSL393318 LCH393317:LCH393318 LMD393317:LMD393318 LVZ393317:LVZ393318 MFV393317:MFV393318 MPR393317:MPR393318 MZN393317:MZN393318 NJJ393317:NJJ393318 NTF393317:NTF393318 ODB393317:ODB393318 OMX393317:OMX393318 OWT393317:OWT393318 PGP393317:PGP393318 PQL393317:PQL393318 QAH393317:QAH393318 QKD393317:QKD393318 QTZ393317:QTZ393318 RDV393317:RDV393318 RNR393317:RNR393318 RXN393317:RXN393318 SHJ393317:SHJ393318 SRF393317:SRF393318 TBB393317:TBB393318 TKX393317:TKX393318 TUT393317:TUT393318 UEP393317:UEP393318 UOL393317:UOL393318 UYH393317:UYH393318 VID393317:VID393318 VRZ393317:VRZ393318 WBV393317:WBV393318 WLR393317:WLR393318 WVN393317:WVN393318 F458853:F458854 JB458853:JB458854 SX458853:SX458854 ACT458853:ACT458854 AMP458853:AMP458854 AWL458853:AWL458854 BGH458853:BGH458854 BQD458853:BQD458854 BZZ458853:BZZ458854 CJV458853:CJV458854 CTR458853:CTR458854 DDN458853:DDN458854 DNJ458853:DNJ458854 DXF458853:DXF458854 EHB458853:EHB458854 EQX458853:EQX458854 FAT458853:FAT458854 FKP458853:FKP458854 FUL458853:FUL458854 GEH458853:GEH458854 GOD458853:GOD458854 GXZ458853:GXZ458854 HHV458853:HHV458854 HRR458853:HRR458854 IBN458853:IBN458854 ILJ458853:ILJ458854 IVF458853:IVF458854 JFB458853:JFB458854 JOX458853:JOX458854 JYT458853:JYT458854 KIP458853:KIP458854 KSL458853:KSL458854 LCH458853:LCH458854 LMD458853:LMD458854 LVZ458853:LVZ458854 MFV458853:MFV458854 MPR458853:MPR458854 MZN458853:MZN458854 NJJ458853:NJJ458854 NTF458853:NTF458854 ODB458853:ODB458854 OMX458853:OMX458854 OWT458853:OWT458854 PGP458853:PGP458854 PQL458853:PQL458854 QAH458853:QAH458854 QKD458853:QKD458854 QTZ458853:QTZ458854 RDV458853:RDV458854 RNR458853:RNR458854 RXN458853:RXN458854 SHJ458853:SHJ458854 SRF458853:SRF458854 TBB458853:TBB458854 TKX458853:TKX458854 TUT458853:TUT458854 UEP458853:UEP458854 UOL458853:UOL458854 UYH458853:UYH458854 VID458853:VID458854 VRZ458853:VRZ458854 WBV458853:WBV458854 WLR458853:WLR458854 WVN458853:WVN458854 F524389:F524390 JB524389:JB524390 SX524389:SX524390 ACT524389:ACT524390 AMP524389:AMP524390 AWL524389:AWL524390 BGH524389:BGH524390 BQD524389:BQD524390 BZZ524389:BZZ524390 CJV524389:CJV524390 CTR524389:CTR524390 DDN524389:DDN524390 DNJ524389:DNJ524390 DXF524389:DXF524390 EHB524389:EHB524390 EQX524389:EQX524390 FAT524389:FAT524390 FKP524389:FKP524390 FUL524389:FUL524390 GEH524389:GEH524390 GOD524389:GOD524390 GXZ524389:GXZ524390 HHV524389:HHV524390 HRR524389:HRR524390 IBN524389:IBN524390 ILJ524389:ILJ524390 IVF524389:IVF524390 JFB524389:JFB524390 JOX524389:JOX524390 JYT524389:JYT524390 KIP524389:KIP524390 KSL524389:KSL524390 LCH524389:LCH524390 LMD524389:LMD524390 LVZ524389:LVZ524390 MFV524389:MFV524390 MPR524389:MPR524390 MZN524389:MZN524390 NJJ524389:NJJ524390 NTF524389:NTF524390 ODB524389:ODB524390 OMX524389:OMX524390 OWT524389:OWT524390 PGP524389:PGP524390 PQL524389:PQL524390 QAH524389:QAH524390 QKD524389:QKD524390 QTZ524389:QTZ524390 RDV524389:RDV524390 RNR524389:RNR524390 RXN524389:RXN524390 SHJ524389:SHJ524390 SRF524389:SRF524390 TBB524389:TBB524390 TKX524389:TKX524390 TUT524389:TUT524390 UEP524389:UEP524390 UOL524389:UOL524390 UYH524389:UYH524390 VID524389:VID524390 VRZ524389:VRZ524390 WBV524389:WBV524390 WLR524389:WLR524390 WVN524389:WVN524390 F589925:F589926 JB589925:JB589926 SX589925:SX589926 ACT589925:ACT589926 AMP589925:AMP589926 AWL589925:AWL589926 BGH589925:BGH589926 BQD589925:BQD589926 BZZ589925:BZZ589926 CJV589925:CJV589926 CTR589925:CTR589926 DDN589925:DDN589926 DNJ589925:DNJ589926 DXF589925:DXF589926 EHB589925:EHB589926 EQX589925:EQX589926 FAT589925:FAT589926 FKP589925:FKP589926 FUL589925:FUL589926 GEH589925:GEH589926 GOD589925:GOD589926 GXZ589925:GXZ589926 HHV589925:HHV589926 HRR589925:HRR589926 IBN589925:IBN589926 ILJ589925:ILJ589926 IVF589925:IVF589926 JFB589925:JFB589926 JOX589925:JOX589926 JYT589925:JYT589926 KIP589925:KIP589926 KSL589925:KSL589926 LCH589925:LCH589926 LMD589925:LMD589926 LVZ589925:LVZ589926 MFV589925:MFV589926 MPR589925:MPR589926 MZN589925:MZN589926 NJJ589925:NJJ589926 NTF589925:NTF589926 ODB589925:ODB589926 OMX589925:OMX589926 OWT589925:OWT589926 PGP589925:PGP589926 PQL589925:PQL589926 QAH589925:QAH589926 QKD589925:QKD589926 QTZ589925:QTZ589926 RDV589925:RDV589926 RNR589925:RNR589926 RXN589925:RXN589926 SHJ589925:SHJ589926 SRF589925:SRF589926 TBB589925:TBB589926 TKX589925:TKX589926 TUT589925:TUT589926 UEP589925:UEP589926 UOL589925:UOL589926 UYH589925:UYH589926 VID589925:VID589926 VRZ589925:VRZ589926 WBV589925:WBV589926 WLR589925:WLR589926 WVN589925:WVN589926 F655461:F655462 JB655461:JB655462 SX655461:SX655462 ACT655461:ACT655462 AMP655461:AMP655462 AWL655461:AWL655462 BGH655461:BGH655462 BQD655461:BQD655462 BZZ655461:BZZ655462 CJV655461:CJV655462 CTR655461:CTR655462 DDN655461:DDN655462 DNJ655461:DNJ655462 DXF655461:DXF655462 EHB655461:EHB655462 EQX655461:EQX655462 FAT655461:FAT655462 FKP655461:FKP655462 FUL655461:FUL655462 GEH655461:GEH655462 GOD655461:GOD655462 GXZ655461:GXZ655462 HHV655461:HHV655462 HRR655461:HRR655462 IBN655461:IBN655462 ILJ655461:ILJ655462 IVF655461:IVF655462 JFB655461:JFB655462 JOX655461:JOX655462 JYT655461:JYT655462 KIP655461:KIP655462 KSL655461:KSL655462 LCH655461:LCH655462 LMD655461:LMD655462 LVZ655461:LVZ655462 MFV655461:MFV655462 MPR655461:MPR655462 MZN655461:MZN655462 NJJ655461:NJJ655462 NTF655461:NTF655462 ODB655461:ODB655462 OMX655461:OMX655462 OWT655461:OWT655462 PGP655461:PGP655462 PQL655461:PQL655462 QAH655461:QAH655462 QKD655461:QKD655462 QTZ655461:QTZ655462 RDV655461:RDV655462 RNR655461:RNR655462 RXN655461:RXN655462 SHJ655461:SHJ655462 SRF655461:SRF655462 TBB655461:TBB655462 TKX655461:TKX655462 TUT655461:TUT655462 UEP655461:UEP655462 UOL655461:UOL655462 UYH655461:UYH655462 VID655461:VID655462 VRZ655461:VRZ655462 WBV655461:WBV655462 WLR655461:WLR655462 WVN655461:WVN655462 F720997:F720998 JB720997:JB720998 SX720997:SX720998 ACT720997:ACT720998 AMP720997:AMP720998 AWL720997:AWL720998 BGH720997:BGH720998 BQD720997:BQD720998 BZZ720997:BZZ720998 CJV720997:CJV720998 CTR720997:CTR720998 DDN720997:DDN720998 DNJ720997:DNJ720998 DXF720997:DXF720998 EHB720997:EHB720998 EQX720997:EQX720998 FAT720997:FAT720998 FKP720997:FKP720998 FUL720997:FUL720998 GEH720997:GEH720998 GOD720997:GOD720998 GXZ720997:GXZ720998 HHV720997:HHV720998 HRR720997:HRR720998 IBN720997:IBN720998 ILJ720997:ILJ720998 IVF720997:IVF720998 JFB720997:JFB720998 JOX720997:JOX720998 JYT720997:JYT720998 KIP720997:KIP720998 KSL720997:KSL720998 LCH720997:LCH720998 LMD720997:LMD720998 LVZ720997:LVZ720998 MFV720997:MFV720998 MPR720997:MPR720998 MZN720997:MZN720998 NJJ720997:NJJ720998 NTF720997:NTF720998 ODB720997:ODB720998 OMX720997:OMX720998 OWT720997:OWT720998 PGP720997:PGP720998 PQL720997:PQL720998 QAH720997:QAH720998 QKD720997:QKD720998 QTZ720997:QTZ720998 RDV720997:RDV720998 RNR720997:RNR720998 RXN720997:RXN720998 SHJ720997:SHJ720998 SRF720997:SRF720998 TBB720997:TBB720998 TKX720997:TKX720998 TUT720997:TUT720998 UEP720997:UEP720998 UOL720997:UOL720998 UYH720997:UYH720998 VID720997:VID720998 VRZ720997:VRZ720998 WBV720997:WBV720998 WLR720997:WLR720998 WVN720997:WVN720998 F786533:F786534 JB786533:JB786534 SX786533:SX786534 ACT786533:ACT786534 AMP786533:AMP786534 AWL786533:AWL786534 BGH786533:BGH786534 BQD786533:BQD786534 BZZ786533:BZZ786534 CJV786533:CJV786534 CTR786533:CTR786534 DDN786533:DDN786534 DNJ786533:DNJ786534 DXF786533:DXF786534 EHB786533:EHB786534 EQX786533:EQX786534 FAT786533:FAT786534 FKP786533:FKP786534 FUL786533:FUL786534 GEH786533:GEH786534 GOD786533:GOD786534 GXZ786533:GXZ786534 HHV786533:HHV786534 HRR786533:HRR786534 IBN786533:IBN786534 ILJ786533:ILJ786534 IVF786533:IVF786534 JFB786533:JFB786534 JOX786533:JOX786534 JYT786533:JYT786534 KIP786533:KIP786534 KSL786533:KSL786534 LCH786533:LCH786534 LMD786533:LMD786534 LVZ786533:LVZ786534 MFV786533:MFV786534 MPR786533:MPR786534 MZN786533:MZN786534 NJJ786533:NJJ786534 NTF786533:NTF786534 ODB786533:ODB786534 OMX786533:OMX786534 OWT786533:OWT786534 PGP786533:PGP786534 PQL786533:PQL786534 QAH786533:QAH786534 QKD786533:QKD786534 QTZ786533:QTZ786534 RDV786533:RDV786534 RNR786533:RNR786534 RXN786533:RXN786534 SHJ786533:SHJ786534 SRF786533:SRF786534 TBB786533:TBB786534 TKX786533:TKX786534 TUT786533:TUT786534 UEP786533:UEP786534 UOL786533:UOL786534 UYH786533:UYH786534 VID786533:VID786534 VRZ786533:VRZ786534 WBV786533:WBV786534 WLR786533:WLR786534 WVN786533:WVN786534 F852069:F852070 JB852069:JB852070 SX852069:SX852070 ACT852069:ACT852070 AMP852069:AMP852070 AWL852069:AWL852070 BGH852069:BGH852070 BQD852069:BQD852070 BZZ852069:BZZ852070 CJV852069:CJV852070 CTR852069:CTR852070 DDN852069:DDN852070 DNJ852069:DNJ852070 DXF852069:DXF852070 EHB852069:EHB852070 EQX852069:EQX852070 FAT852069:FAT852070 FKP852069:FKP852070 FUL852069:FUL852070 GEH852069:GEH852070 GOD852069:GOD852070 GXZ852069:GXZ852070 HHV852069:HHV852070 HRR852069:HRR852070 IBN852069:IBN852070 ILJ852069:ILJ852070 IVF852069:IVF852070 JFB852069:JFB852070 JOX852069:JOX852070 JYT852069:JYT852070 KIP852069:KIP852070 KSL852069:KSL852070 LCH852069:LCH852070 LMD852069:LMD852070 LVZ852069:LVZ852070 MFV852069:MFV852070 MPR852069:MPR852070 MZN852069:MZN852070 NJJ852069:NJJ852070 NTF852069:NTF852070 ODB852069:ODB852070 OMX852069:OMX852070 OWT852069:OWT852070 PGP852069:PGP852070 PQL852069:PQL852070 QAH852069:QAH852070 QKD852069:QKD852070 QTZ852069:QTZ852070 RDV852069:RDV852070 RNR852069:RNR852070 RXN852069:RXN852070 SHJ852069:SHJ852070 SRF852069:SRF852070 TBB852069:TBB852070 TKX852069:TKX852070 TUT852069:TUT852070 UEP852069:UEP852070 UOL852069:UOL852070 UYH852069:UYH852070 VID852069:VID852070 VRZ852069:VRZ852070 WBV852069:WBV852070 WLR852069:WLR852070 WVN852069:WVN852070 F917605:F917606 JB917605:JB917606 SX917605:SX917606 ACT917605:ACT917606 AMP917605:AMP917606 AWL917605:AWL917606 BGH917605:BGH917606 BQD917605:BQD917606 BZZ917605:BZZ917606 CJV917605:CJV917606 CTR917605:CTR917606 DDN917605:DDN917606 DNJ917605:DNJ917606 DXF917605:DXF917606 EHB917605:EHB917606 EQX917605:EQX917606 FAT917605:FAT917606 FKP917605:FKP917606 FUL917605:FUL917606 GEH917605:GEH917606 GOD917605:GOD917606 GXZ917605:GXZ917606 HHV917605:HHV917606 HRR917605:HRR917606 IBN917605:IBN917606 ILJ917605:ILJ917606 IVF917605:IVF917606 JFB917605:JFB917606 JOX917605:JOX917606 JYT917605:JYT917606 KIP917605:KIP917606 KSL917605:KSL917606 LCH917605:LCH917606 LMD917605:LMD917606 LVZ917605:LVZ917606 MFV917605:MFV917606 MPR917605:MPR917606 MZN917605:MZN917606 NJJ917605:NJJ917606 NTF917605:NTF917606 ODB917605:ODB917606 OMX917605:OMX917606 OWT917605:OWT917606 PGP917605:PGP917606 PQL917605:PQL917606 QAH917605:QAH917606 QKD917605:QKD917606 QTZ917605:QTZ917606 RDV917605:RDV917606 RNR917605:RNR917606 RXN917605:RXN917606 SHJ917605:SHJ917606 SRF917605:SRF917606 TBB917605:TBB917606 TKX917605:TKX917606 TUT917605:TUT917606 UEP917605:UEP917606 UOL917605:UOL917606 UYH917605:UYH917606 VID917605:VID917606 VRZ917605:VRZ917606 WBV917605:WBV917606 WLR917605:WLR917606 WVN917605:WVN917606 F983141:F983142 JB983141:JB983142 SX983141:SX983142 ACT983141:ACT983142 AMP983141:AMP983142 AWL983141:AWL983142 BGH983141:BGH983142 BQD983141:BQD983142 BZZ983141:BZZ983142 CJV983141:CJV983142 CTR983141:CTR983142 DDN983141:DDN983142 DNJ983141:DNJ983142 DXF983141:DXF983142 EHB983141:EHB983142 EQX983141:EQX983142 FAT983141:FAT983142 FKP983141:FKP983142 FUL983141:FUL983142 GEH983141:GEH983142 GOD983141:GOD983142 GXZ983141:GXZ983142 HHV983141:HHV983142 HRR983141:HRR983142 IBN983141:IBN983142 ILJ983141:ILJ983142 IVF983141:IVF983142 JFB983141:JFB983142 JOX983141:JOX983142 JYT983141:JYT983142 KIP983141:KIP983142 KSL983141:KSL983142 LCH983141:LCH983142 LMD983141:LMD983142 LVZ983141:LVZ983142 MFV983141:MFV983142 MPR983141:MPR983142 MZN983141:MZN983142 NJJ983141:NJJ983142 NTF983141:NTF983142 ODB983141:ODB983142 OMX983141:OMX983142 OWT983141:OWT983142 PGP983141:PGP983142 PQL983141:PQL983142 QAH983141:QAH983142 QKD983141:QKD983142 QTZ983141:QTZ983142 RDV983141:RDV983142 RNR983141:RNR983142 RXN983141:RXN983142 SHJ983141:SHJ983142 SRF983141:SRF983142 TBB983141:TBB983142 TKX983141:TKX983142 TUT983141:TUT983142 UEP983141:UEP983142 UOL983141:UOL983142 UYH983141:UYH983142 VID983141:VID983142 VRZ983141:VRZ983142 WBV983141:WBV983142 WLR983141:WLR983142 WVN983141:WVN983142 ERG71:ERG77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L65637 JH65637 TD65637 ACZ65637 AMV65637 AWR65637 BGN65637 BQJ65637 CAF65637 CKB65637 CTX65637 DDT65637 DNP65637 DXL65637 EHH65637 ERD65637 FAZ65637 FKV65637 FUR65637 GEN65637 GOJ65637 GYF65637 HIB65637 HRX65637 IBT65637 ILP65637 IVL65637 JFH65637 JPD65637 JYZ65637 KIV65637 KSR65637 LCN65637 LMJ65637 LWF65637 MGB65637 MPX65637 MZT65637 NJP65637 NTL65637 ODH65637 OND65637 OWZ65637 PGV65637 PQR65637 QAN65637 QKJ65637 QUF65637 REB65637 RNX65637 RXT65637 SHP65637 SRL65637 TBH65637 TLD65637 TUZ65637 UEV65637 UOR65637 UYN65637 VIJ65637 VSF65637 WCB65637 WLX65637 WVT65637 L131173 JH131173 TD131173 ACZ131173 AMV131173 AWR131173 BGN131173 BQJ131173 CAF131173 CKB131173 CTX131173 DDT131173 DNP131173 DXL131173 EHH131173 ERD131173 FAZ131173 FKV131173 FUR131173 GEN131173 GOJ131173 GYF131173 HIB131173 HRX131173 IBT131173 ILP131173 IVL131173 JFH131173 JPD131173 JYZ131173 KIV131173 KSR131173 LCN131173 LMJ131173 LWF131173 MGB131173 MPX131173 MZT131173 NJP131173 NTL131173 ODH131173 OND131173 OWZ131173 PGV131173 PQR131173 QAN131173 QKJ131173 QUF131173 REB131173 RNX131173 RXT131173 SHP131173 SRL131173 TBH131173 TLD131173 TUZ131173 UEV131173 UOR131173 UYN131173 VIJ131173 VSF131173 WCB131173 WLX131173 WVT131173 L196709 JH196709 TD196709 ACZ196709 AMV196709 AWR196709 BGN196709 BQJ196709 CAF196709 CKB196709 CTX196709 DDT196709 DNP196709 DXL196709 EHH196709 ERD196709 FAZ196709 FKV196709 FUR196709 GEN196709 GOJ196709 GYF196709 HIB196709 HRX196709 IBT196709 ILP196709 IVL196709 JFH196709 JPD196709 JYZ196709 KIV196709 KSR196709 LCN196709 LMJ196709 LWF196709 MGB196709 MPX196709 MZT196709 NJP196709 NTL196709 ODH196709 OND196709 OWZ196709 PGV196709 PQR196709 QAN196709 QKJ196709 QUF196709 REB196709 RNX196709 RXT196709 SHP196709 SRL196709 TBH196709 TLD196709 TUZ196709 UEV196709 UOR196709 UYN196709 VIJ196709 VSF196709 WCB196709 WLX196709 WVT196709 L262245 JH262245 TD262245 ACZ262245 AMV262245 AWR262245 BGN262245 BQJ262245 CAF262245 CKB262245 CTX262245 DDT262245 DNP262245 DXL262245 EHH262245 ERD262245 FAZ262245 FKV262245 FUR262245 GEN262245 GOJ262245 GYF262245 HIB262245 HRX262245 IBT262245 ILP262245 IVL262245 JFH262245 JPD262245 JYZ262245 KIV262245 KSR262245 LCN262245 LMJ262245 LWF262245 MGB262245 MPX262245 MZT262245 NJP262245 NTL262245 ODH262245 OND262245 OWZ262245 PGV262245 PQR262245 QAN262245 QKJ262245 QUF262245 REB262245 RNX262245 RXT262245 SHP262245 SRL262245 TBH262245 TLD262245 TUZ262245 UEV262245 UOR262245 UYN262245 VIJ262245 VSF262245 WCB262245 WLX262245 WVT262245 L327781 JH327781 TD327781 ACZ327781 AMV327781 AWR327781 BGN327781 BQJ327781 CAF327781 CKB327781 CTX327781 DDT327781 DNP327781 DXL327781 EHH327781 ERD327781 FAZ327781 FKV327781 FUR327781 GEN327781 GOJ327781 GYF327781 HIB327781 HRX327781 IBT327781 ILP327781 IVL327781 JFH327781 JPD327781 JYZ327781 KIV327781 KSR327781 LCN327781 LMJ327781 LWF327781 MGB327781 MPX327781 MZT327781 NJP327781 NTL327781 ODH327781 OND327781 OWZ327781 PGV327781 PQR327781 QAN327781 QKJ327781 QUF327781 REB327781 RNX327781 RXT327781 SHP327781 SRL327781 TBH327781 TLD327781 TUZ327781 UEV327781 UOR327781 UYN327781 VIJ327781 VSF327781 WCB327781 WLX327781 WVT327781 L393317 JH393317 TD393317 ACZ393317 AMV393317 AWR393317 BGN393317 BQJ393317 CAF393317 CKB393317 CTX393317 DDT393317 DNP393317 DXL393317 EHH393317 ERD393317 FAZ393317 FKV393317 FUR393317 GEN393317 GOJ393317 GYF393317 HIB393317 HRX393317 IBT393317 ILP393317 IVL393317 JFH393317 JPD393317 JYZ393317 KIV393317 KSR393317 LCN393317 LMJ393317 LWF393317 MGB393317 MPX393317 MZT393317 NJP393317 NTL393317 ODH393317 OND393317 OWZ393317 PGV393317 PQR393317 QAN393317 QKJ393317 QUF393317 REB393317 RNX393317 RXT393317 SHP393317 SRL393317 TBH393317 TLD393317 TUZ393317 UEV393317 UOR393317 UYN393317 VIJ393317 VSF393317 WCB393317 WLX393317 WVT393317 L458853 JH458853 TD458853 ACZ458853 AMV458853 AWR458853 BGN458853 BQJ458853 CAF458853 CKB458853 CTX458853 DDT458853 DNP458853 DXL458853 EHH458853 ERD458853 FAZ458853 FKV458853 FUR458853 GEN458853 GOJ458853 GYF458853 HIB458853 HRX458853 IBT458853 ILP458853 IVL458853 JFH458853 JPD458853 JYZ458853 KIV458853 KSR458853 LCN458853 LMJ458853 LWF458853 MGB458853 MPX458853 MZT458853 NJP458853 NTL458853 ODH458853 OND458853 OWZ458853 PGV458853 PQR458853 QAN458853 QKJ458853 QUF458853 REB458853 RNX458853 RXT458853 SHP458853 SRL458853 TBH458853 TLD458853 TUZ458853 UEV458853 UOR458853 UYN458853 VIJ458853 VSF458853 WCB458853 WLX458853 WVT458853 L524389 JH524389 TD524389 ACZ524389 AMV524389 AWR524389 BGN524389 BQJ524389 CAF524389 CKB524389 CTX524389 DDT524389 DNP524389 DXL524389 EHH524389 ERD524389 FAZ524389 FKV524389 FUR524389 GEN524389 GOJ524389 GYF524389 HIB524389 HRX524389 IBT524389 ILP524389 IVL524389 JFH524389 JPD524389 JYZ524389 KIV524389 KSR524389 LCN524389 LMJ524389 LWF524389 MGB524389 MPX524389 MZT524389 NJP524389 NTL524389 ODH524389 OND524389 OWZ524389 PGV524389 PQR524389 QAN524389 QKJ524389 QUF524389 REB524389 RNX524389 RXT524389 SHP524389 SRL524389 TBH524389 TLD524389 TUZ524389 UEV524389 UOR524389 UYN524389 VIJ524389 VSF524389 WCB524389 WLX524389 WVT524389 L589925 JH589925 TD589925 ACZ589925 AMV589925 AWR589925 BGN589925 BQJ589925 CAF589925 CKB589925 CTX589925 DDT589925 DNP589925 DXL589925 EHH589925 ERD589925 FAZ589925 FKV589925 FUR589925 GEN589925 GOJ589925 GYF589925 HIB589925 HRX589925 IBT589925 ILP589925 IVL589925 JFH589925 JPD589925 JYZ589925 KIV589925 KSR589925 LCN589925 LMJ589925 LWF589925 MGB589925 MPX589925 MZT589925 NJP589925 NTL589925 ODH589925 OND589925 OWZ589925 PGV589925 PQR589925 QAN589925 QKJ589925 QUF589925 REB589925 RNX589925 RXT589925 SHP589925 SRL589925 TBH589925 TLD589925 TUZ589925 UEV589925 UOR589925 UYN589925 VIJ589925 VSF589925 WCB589925 WLX589925 WVT589925 L655461 JH655461 TD655461 ACZ655461 AMV655461 AWR655461 BGN655461 BQJ655461 CAF655461 CKB655461 CTX655461 DDT655461 DNP655461 DXL655461 EHH655461 ERD655461 FAZ655461 FKV655461 FUR655461 GEN655461 GOJ655461 GYF655461 HIB655461 HRX655461 IBT655461 ILP655461 IVL655461 JFH655461 JPD655461 JYZ655461 KIV655461 KSR655461 LCN655461 LMJ655461 LWF655461 MGB655461 MPX655461 MZT655461 NJP655461 NTL655461 ODH655461 OND655461 OWZ655461 PGV655461 PQR655461 QAN655461 QKJ655461 QUF655461 REB655461 RNX655461 RXT655461 SHP655461 SRL655461 TBH655461 TLD655461 TUZ655461 UEV655461 UOR655461 UYN655461 VIJ655461 VSF655461 WCB655461 WLX655461 WVT655461 L720997 JH720997 TD720997 ACZ720997 AMV720997 AWR720997 BGN720997 BQJ720997 CAF720997 CKB720997 CTX720997 DDT720997 DNP720997 DXL720997 EHH720997 ERD720997 FAZ720997 FKV720997 FUR720997 GEN720997 GOJ720997 GYF720997 HIB720997 HRX720997 IBT720997 ILP720997 IVL720997 JFH720997 JPD720997 JYZ720997 KIV720997 KSR720997 LCN720997 LMJ720997 LWF720997 MGB720997 MPX720997 MZT720997 NJP720997 NTL720997 ODH720997 OND720997 OWZ720997 PGV720997 PQR720997 QAN720997 QKJ720997 QUF720997 REB720997 RNX720997 RXT720997 SHP720997 SRL720997 TBH720997 TLD720997 TUZ720997 UEV720997 UOR720997 UYN720997 VIJ720997 VSF720997 WCB720997 WLX720997 WVT720997 L786533 JH786533 TD786533 ACZ786533 AMV786533 AWR786533 BGN786533 BQJ786533 CAF786533 CKB786533 CTX786533 DDT786533 DNP786533 DXL786533 EHH786533 ERD786533 FAZ786533 FKV786533 FUR786533 GEN786533 GOJ786533 GYF786533 HIB786533 HRX786533 IBT786533 ILP786533 IVL786533 JFH786533 JPD786533 JYZ786533 KIV786533 KSR786533 LCN786533 LMJ786533 LWF786533 MGB786533 MPX786533 MZT786533 NJP786533 NTL786533 ODH786533 OND786533 OWZ786533 PGV786533 PQR786533 QAN786533 QKJ786533 QUF786533 REB786533 RNX786533 RXT786533 SHP786533 SRL786533 TBH786533 TLD786533 TUZ786533 UEV786533 UOR786533 UYN786533 VIJ786533 VSF786533 WCB786533 WLX786533 WVT786533 L852069 JH852069 TD852069 ACZ852069 AMV852069 AWR852069 BGN852069 BQJ852069 CAF852069 CKB852069 CTX852069 DDT852069 DNP852069 DXL852069 EHH852069 ERD852069 FAZ852069 FKV852069 FUR852069 GEN852069 GOJ852069 GYF852069 HIB852069 HRX852069 IBT852069 ILP852069 IVL852069 JFH852069 JPD852069 JYZ852069 KIV852069 KSR852069 LCN852069 LMJ852069 LWF852069 MGB852069 MPX852069 MZT852069 NJP852069 NTL852069 ODH852069 OND852069 OWZ852069 PGV852069 PQR852069 QAN852069 QKJ852069 QUF852069 REB852069 RNX852069 RXT852069 SHP852069 SRL852069 TBH852069 TLD852069 TUZ852069 UEV852069 UOR852069 UYN852069 VIJ852069 VSF852069 WCB852069 WLX852069 WVT852069 L917605 JH917605 TD917605 ACZ917605 AMV917605 AWR917605 BGN917605 BQJ917605 CAF917605 CKB917605 CTX917605 DDT917605 DNP917605 DXL917605 EHH917605 ERD917605 FAZ917605 FKV917605 FUR917605 GEN917605 GOJ917605 GYF917605 HIB917605 HRX917605 IBT917605 ILP917605 IVL917605 JFH917605 JPD917605 JYZ917605 KIV917605 KSR917605 LCN917605 LMJ917605 LWF917605 MGB917605 MPX917605 MZT917605 NJP917605 NTL917605 ODH917605 OND917605 OWZ917605 PGV917605 PQR917605 QAN917605 QKJ917605 QUF917605 REB917605 RNX917605 RXT917605 SHP917605 SRL917605 TBH917605 TLD917605 TUZ917605 UEV917605 UOR917605 UYN917605 VIJ917605 VSF917605 WCB917605 WLX917605 WVT917605 L983141 JH983141 TD983141 ACZ983141 AMV983141 AWR983141 BGN983141 BQJ983141 CAF983141 CKB983141 CTX983141 DDT983141 DNP983141 DXL983141 EHH983141 ERD983141 FAZ983141 FKV983141 FUR983141 GEN983141 GOJ983141 GYF983141 HIB983141 HRX983141 IBT983141 ILP983141 IVL983141 JFH983141 JPD983141 JYZ983141 KIV983141 KSR983141 LCN983141 LMJ983141 LWF983141 MGB983141 MPX983141 MZT983141 NJP983141 NTL983141 ODH983141 OND983141 OWZ983141 PGV983141 PQR983141 QAN983141 QKJ983141 QUF983141 REB983141 RNX983141 RXT983141 SHP983141 SRL983141 TBH983141 TLD983141 TUZ983141 UEV983141 UOR983141 UYN983141 VIJ983141 VSF983141 WCB983141 WLX983141 WVT983141 EHK71:EHK77 JL102:JL103 TH102:TH103 ADD102:ADD103 AMZ102:AMZ103 AWV102:AWV103 BGR102:BGR103 BQN102:BQN103 CAJ102:CAJ103 CKF102:CKF103 CUB102:CUB103 DDX102:DDX103 DNT102:DNT103 DXP102:DXP103 EHL102:EHL103 ERH102:ERH103 FBD102:FBD103 FKZ102:FKZ103 FUV102:FUV103 GER102:GER103 GON102:GON103 GYJ102:GYJ103 HIF102:HIF103 HSB102:HSB103 IBX102:IBX103 ILT102:ILT103 IVP102:IVP103 JFL102:JFL103 JPH102:JPH103 JZD102:JZD103 KIZ102:KIZ103 KSV102:KSV103 LCR102:LCR103 LMN102:LMN103 LWJ102:LWJ103 MGF102:MGF103 MQB102:MQB103 MZX102:MZX103 NJT102:NJT103 NTP102:NTP103 ODL102:ODL103 ONH102:ONH103 OXD102:OXD103 PGZ102:PGZ103 PQV102:PQV103 QAR102:QAR103 QKN102:QKN103 QUJ102:QUJ103 REF102:REF103 ROB102:ROB103 RXX102:RXX103 SHT102:SHT103 SRP102:SRP103 TBL102:TBL103 TLH102:TLH103 TVD102:TVD103 UEZ102:UEZ103 UOV102:UOV103 UYR102:UYR103 VIN102:VIN103 VSJ102:VSJ103 WCF102:WCF103 WMB102:WMB103 WVX102:WVX103 P65637:P65638 JL65637:JL65638 TH65637:TH65638 ADD65637:ADD65638 AMZ65637:AMZ65638 AWV65637:AWV65638 BGR65637:BGR65638 BQN65637:BQN65638 CAJ65637:CAJ65638 CKF65637:CKF65638 CUB65637:CUB65638 DDX65637:DDX65638 DNT65637:DNT65638 DXP65637:DXP65638 EHL65637:EHL65638 ERH65637:ERH65638 FBD65637:FBD65638 FKZ65637:FKZ65638 FUV65637:FUV65638 GER65637:GER65638 GON65637:GON65638 GYJ65637:GYJ65638 HIF65637:HIF65638 HSB65637:HSB65638 IBX65637:IBX65638 ILT65637:ILT65638 IVP65637:IVP65638 JFL65637:JFL65638 JPH65637:JPH65638 JZD65637:JZD65638 KIZ65637:KIZ65638 KSV65637:KSV65638 LCR65637:LCR65638 LMN65637:LMN65638 LWJ65637:LWJ65638 MGF65637:MGF65638 MQB65637:MQB65638 MZX65637:MZX65638 NJT65637:NJT65638 NTP65637:NTP65638 ODL65637:ODL65638 ONH65637:ONH65638 OXD65637:OXD65638 PGZ65637:PGZ65638 PQV65637:PQV65638 QAR65637:QAR65638 QKN65637:QKN65638 QUJ65637:QUJ65638 REF65637:REF65638 ROB65637:ROB65638 RXX65637:RXX65638 SHT65637:SHT65638 SRP65637:SRP65638 TBL65637:TBL65638 TLH65637:TLH65638 TVD65637:TVD65638 UEZ65637:UEZ65638 UOV65637:UOV65638 UYR65637:UYR65638 VIN65637:VIN65638 VSJ65637:VSJ65638 WCF65637:WCF65638 WMB65637:WMB65638 WVX65637:WVX65638 P131173:P131174 JL131173:JL131174 TH131173:TH131174 ADD131173:ADD131174 AMZ131173:AMZ131174 AWV131173:AWV131174 BGR131173:BGR131174 BQN131173:BQN131174 CAJ131173:CAJ131174 CKF131173:CKF131174 CUB131173:CUB131174 DDX131173:DDX131174 DNT131173:DNT131174 DXP131173:DXP131174 EHL131173:EHL131174 ERH131173:ERH131174 FBD131173:FBD131174 FKZ131173:FKZ131174 FUV131173:FUV131174 GER131173:GER131174 GON131173:GON131174 GYJ131173:GYJ131174 HIF131173:HIF131174 HSB131173:HSB131174 IBX131173:IBX131174 ILT131173:ILT131174 IVP131173:IVP131174 JFL131173:JFL131174 JPH131173:JPH131174 JZD131173:JZD131174 KIZ131173:KIZ131174 KSV131173:KSV131174 LCR131173:LCR131174 LMN131173:LMN131174 LWJ131173:LWJ131174 MGF131173:MGF131174 MQB131173:MQB131174 MZX131173:MZX131174 NJT131173:NJT131174 NTP131173:NTP131174 ODL131173:ODL131174 ONH131173:ONH131174 OXD131173:OXD131174 PGZ131173:PGZ131174 PQV131173:PQV131174 QAR131173:QAR131174 QKN131173:QKN131174 QUJ131173:QUJ131174 REF131173:REF131174 ROB131173:ROB131174 RXX131173:RXX131174 SHT131173:SHT131174 SRP131173:SRP131174 TBL131173:TBL131174 TLH131173:TLH131174 TVD131173:TVD131174 UEZ131173:UEZ131174 UOV131173:UOV131174 UYR131173:UYR131174 VIN131173:VIN131174 VSJ131173:VSJ131174 WCF131173:WCF131174 WMB131173:WMB131174 WVX131173:WVX131174 P196709:P196710 JL196709:JL196710 TH196709:TH196710 ADD196709:ADD196710 AMZ196709:AMZ196710 AWV196709:AWV196710 BGR196709:BGR196710 BQN196709:BQN196710 CAJ196709:CAJ196710 CKF196709:CKF196710 CUB196709:CUB196710 DDX196709:DDX196710 DNT196709:DNT196710 DXP196709:DXP196710 EHL196709:EHL196710 ERH196709:ERH196710 FBD196709:FBD196710 FKZ196709:FKZ196710 FUV196709:FUV196710 GER196709:GER196710 GON196709:GON196710 GYJ196709:GYJ196710 HIF196709:HIF196710 HSB196709:HSB196710 IBX196709:IBX196710 ILT196709:ILT196710 IVP196709:IVP196710 JFL196709:JFL196710 JPH196709:JPH196710 JZD196709:JZD196710 KIZ196709:KIZ196710 KSV196709:KSV196710 LCR196709:LCR196710 LMN196709:LMN196710 LWJ196709:LWJ196710 MGF196709:MGF196710 MQB196709:MQB196710 MZX196709:MZX196710 NJT196709:NJT196710 NTP196709:NTP196710 ODL196709:ODL196710 ONH196709:ONH196710 OXD196709:OXD196710 PGZ196709:PGZ196710 PQV196709:PQV196710 QAR196709:QAR196710 QKN196709:QKN196710 QUJ196709:QUJ196710 REF196709:REF196710 ROB196709:ROB196710 RXX196709:RXX196710 SHT196709:SHT196710 SRP196709:SRP196710 TBL196709:TBL196710 TLH196709:TLH196710 TVD196709:TVD196710 UEZ196709:UEZ196710 UOV196709:UOV196710 UYR196709:UYR196710 VIN196709:VIN196710 VSJ196709:VSJ196710 WCF196709:WCF196710 WMB196709:WMB196710 WVX196709:WVX196710 P262245:P262246 JL262245:JL262246 TH262245:TH262246 ADD262245:ADD262246 AMZ262245:AMZ262246 AWV262245:AWV262246 BGR262245:BGR262246 BQN262245:BQN262246 CAJ262245:CAJ262246 CKF262245:CKF262246 CUB262245:CUB262246 DDX262245:DDX262246 DNT262245:DNT262246 DXP262245:DXP262246 EHL262245:EHL262246 ERH262245:ERH262246 FBD262245:FBD262246 FKZ262245:FKZ262246 FUV262245:FUV262246 GER262245:GER262246 GON262245:GON262246 GYJ262245:GYJ262246 HIF262245:HIF262246 HSB262245:HSB262246 IBX262245:IBX262246 ILT262245:ILT262246 IVP262245:IVP262246 JFL262245:JFL262246 JPH262245:JPH262246 JZD262245:JZD262246 KIZ262245:KIZ262246 KSV262245:KSV262246 LCR262245:LCR262246 LMN262245:LMN262246 LWJ262245:LWJ262246 MGF262245:MGF262246 MQB262245:MQB262246 MZX262245:MZX262246 NJT262245:NJT262246 NTP262245:NTP262246 ODL262245:ODL262246 ONH262245:ONH262246 OXD262245:OXD262246 PGZ262245:PGZ262246 PQV262245:PQV262246 QAR262245:QAR262246 QKN262245:QKN262246 QUJ262245:QUJ262246 REF262245:REF262246 ROB262245:ROB262246 RXX262245:RXX262246 SHT262245:SHT262246 SRP262245:SRP262246 TBL262245:TBL262246 TLH262245:TLH262246 TVD262245:TVD262246 UEZ262245:UEZ262246 UOV262245:UOV262246 UYR262245:UYR262246 VIN262245:VIN262246 VSJ262245:VSJ262246 WCF262245:WCF262246 WMB262245:WMB262246 WVX262245:WVX262246 P327781:P327782 JL327781:JL327782 TH327781:TH327782 ADD327781:ADD327782 AMZ327781:AMZ327782 AWV327781:AWV327782 BGR327781:BGR327782 BQN327781:BQN327782 CAJ327781:CAJ327782 CKF327781:CKF327782 CUB327781:CUB327782 DDX327781:DDX327782 DNT327781:DNT327782 DXP327781:DXP327782 EHL327781:EHL327782 ERH327781:ERH327782 FBD327781:FBD327782 FKZ327781:FKZ327782 FUV327781:FUV327782 GER327781:GER327782 GON327781:GON327782 GYJ327781:GYJ327782 HIF327781:HIF327782 HSB327781:HSB327782 IBX327781:IBX327782 ILT327781:ILT327782 IVP327781:IVP327782 JFL327781:JFL327782 JPH327781:JPH327782 JZD327781:JZD327782 KIZ327781:KIZ327782 KSV327781:KSV327782 LCR327781:LCR327782 LMN327781:LMN327782 LWJ327781:LWJ327782 MGF327781:MGF327782 MQB327781:MQB327782 MZX327781:MZX327782 NJT327781:NJT327782 NTP327781:NTP327782 ODL327781:ODL327782 ONH327781:ONH327782 OXD327781:OXD327782 PGZ327781:PGZ327782 PQV327781:PQV327782 QAR327781:QAR327782 QKN327781:QKN327782 QUJ327781:QUJ327782 REF327781:REF327782 ROB327781:ROB327782 RXX327781:RXX327782 SHT327781:SHT327782 SRP327781:SRP327782 TBL327781:TBL327782 TLH327781:TLH327782 TVD327781:TVD327782 UEZ327781:UEZ327782 UOV327781:UOV327782 UYR327781:UYR327782 VIN327781:VIN327782 VSJ327781:VSJ327782 WCF327781:WCF327782 WMB327781:WMB327782 WVX327781:WVX327782 P393317:P393318 JL393317:JL393318 TH393317:TH393318 ADD393317:ADD393318 AMZ393317:AMZ393318 AWV393317:AWV393318 BGR393317:BGR393318 BQN393317:BQN393318 CAJ393317:CAJ393318 CKF393317:CKF393318 CUB393317:CUB393318 DDX393317:DDX393318 DNT393317:DNT393318 DXP393317:DXP393318 EHL393317:EHL393318 ERH393317:ERH393318 FBD393317:FBD393318 FKZ393317:FKZ393318 FUV393317:FUV393318 GER393317:GER393318 GON393317:GON393318 GYJ393317:GYJ393318 HIF393317:HIF393318 HSB393317:HSB393318 IBX393317:IBX393318 ILT393317:ILT393318 IVP393317:IVP393318 JFL393317:JFL393318 JPH393317:JPH393318 JZD393317:JZD393318 KIZ393317:KIZ393318 KSV393317:KSV393318 LCR393317:LCR393318 LMN393317:LMN393318 LWJ393317:LWJ393318 MGF393317:MGF393318 MQB393317:MQB393318 MZX393317:MZX393318 NJT393317:NJT393318 NTP393317:NTP393318 ODL393317:ODL393318 ONH393317:ONH393318 OXD393317:OXD393318 PGZ393317:PGZ393318 PQV393317:PQV393318 QAR393317:QAR393318 QKN393317:QKN393318 QUJ393317:QUJ393318 REF393317:REF393318 ROB393317:ROB393318 RXX393317:RXX393318 SHT393317:SHT393318 SRP393317:SRP393318 TBL393317:TBL393318 TLH393317:TLH393318 TVD393317:TVD393318 UEZ393317:UEZ393318 UOV393317:UOV393318 UYR393317:UYR393318 VIN393317:VIN393318 VSJ393317:VSJ393318 WCF393317:WCF393318 WMB393317:WMB393318 WVX393317:WVX393318 P458853:P458854 JL458853:JL458854 TH458853:TH458854 ADD458853:ADD458854 AMZ458853:AMZ458854 AWV458853:AWV458854 BGR458853:BGR458854 BQN458853:BQN458854 CAJ458853:CAJ458854 CKF458853:CKF458854 CUB458853:CUB458854 DDX458853:DDX458854 DNT458853:DNT458854 DXP458853:DXP458854 EHL458853:EHL458854 ERH458853:ERH458854 FBD458853:FBD458854 FKZ458853:FKZ458854 FUV458853:FUV458854 GER458853:GER458854 GON458853:GON458854 GYJ458853:GYJ458854 HIF458853:HIF458854 HSB458853:HSB458854 IBX458853:IBX458854 ILT458853:ILT458854 IVP458853:IVP458854 JFL458853:JFL458854 JPH458853:JPH458854 JZD458853:JZD458854 KIZ458853:KIZ458854 KSV458853:KSV458854 LCR458853:LCR458854 LMN458853:LMN458854 LWJ458853:LWJ458854 MGF458853:MGF458854 MQB458853:MQB458854 MZX458853:MZX458854 NJT458853:NJT458854 NTP458853:NTP458854 ODL458853:ODL458854 ONH458853:ONH458854 OXD458853:OXD458854 PGZ458853:PGZ458854 PQV458853:PQV458854 QAR458853:QAR458854 QKN458853:QKN458854 QUJ458853:QUJ458854 REF458853:REF458854 ROB458853:ROB458854 RXX458853:RXX458854 SHT458853:SHT458854 SRP458853:SRP458854 TBL458853:TBL458854 TLH458853:TLH458854 TVD458853:TVD458854 UEZ458853:UEZ458854 UOV458853:UOV458854 UYR458853:UYR458854 VIN458853:VIN458854 VSJ458853:VSJ458854 WCF458853:WCF458854 WMB458853:WMB458854 WVX458853:WVX458854 P524389:P524390 JL524389:JL524390 TH524389:TH524390 ADD524389:ADD524390 AMZ524389:AMZ524390 AWV524389:AWV524390 BGR524389:BGR524390 BQN524389:BQN524390 CAJ524389:CAJ524390 CKF524389:CKF524390 CUB524389:CUB524390 DDX524389:DDX524390 DNT524389:DNT524390 DXP524389:DXP524390 EHL524389:EHL524390 ERH524389:ERH524390 FBD524389:FBD524390 FKZ524389:FKZ524390 FUV524389:FUV524390 GER524389:GER524390 GON524389:GON524390 GYJ524389:GYJ524390 HIF524389:HIF524390 HSB524389:HSB524390 IBX524389:IBX524390 ILT524389:ILT524390 IVP524389:IVP524390 JFL524389:JFL524390 JPH524389:JPH524390 JZD524389:JZD524390 KIZ524389:KIZ524390 KSV524389:KSV524390 LCR524389:LCR524390 LMN524389:LMN524390 LWJ524389:LWJ524390 MGF524389:MGF524390 MQB524389:MQB524390 MZX524389:MZX524390 NJT524389:NJT524390 NTP524389:NTP524390 ODL524389:ODL524390 ONH524389:ONH524390 OXD524389:OXD524390 PGZ524389:PGZ524390 PQV524389:PQV524390 QAR524389:QAR524390 QKN524389:QKN524390 QUJ524389:QUJ524390 REF524389:REF524390 ROB524389:ROB524390 RXX524389:RXX524390 SHT524389:SHT524390 SRP524389:SRP524390 TBL524389:TBL524390 TLH524389:TLH524390 TVD524389:TVD524390 UEZ524389:UEZ524390 UOV524389:UOV524390 UYR524389:UYR524390 VIN524389:VIN524390 VSJ524389:VSJ524390 WCF524389:WCF524390 WMB524389:WMB524390 WVX524389:WVX524390 P589925:P589926 JL589925:JL589926 TH589925:TH589926 ADD589925:ADD589926 AMZ589925:AMZ589926 AWV589925:AWV589926 BGR589925:BGR589926 BQN589925:BQN589926 CAJ589925:CAJ589926 CKF589925:CKF589926 CUB589925:CUB589926 DDX589925:DDX589926 DNT589925:DNT589926 DXP589925:DXP589926 EHL589925:EHL589926 ERH589925:ERH589926 FBD589925:FBD589926 FKZ589925:FKZ589926 FUV589925:FUV589926 GER589925:GER589926 GON589925:GON589926 GYJ589925:GYJ589926 HIF589925:HIF589926 HSB589925:HSB589926 IBX589925:IBX589926 ILT589925:ILT589926 IVP589925:IVP589926 JFL589925:JFL589926 JPH589925:JPH589926 JZD589925:JZD589926 KIZ589925:KIZ589926 KSV589925:KSV589926 LCR589925:LCR589926 LMN589925:LMN589926 LWJ589925:LWJ589926 MGF589925:MGF589926 MQB589925:MQB589926 MZX589925:MZX589926 NJT589925:NJT589926 NTP589925:NTP589926 ODL589925:ODL589926 ONH589925:ONH589926 OXD589925:OXD589926 PGZ589925:PGZ589926 PQV589925:PQV589926 QAR589925:QAR589926 QKN589925:QKN589926 QUJ589925:QUJ589926 REF589925:REF589926 ROB589925:ROB589926 RXX589925:RXX589926 SHT589925:SHT589926 SRP589925:SRP589926 TBL589925:TBL589926 TLH589925:TLH589926 TVD589925:TVD589926 UEZ589925:UEZ589926 UOV589925:UOV589926 UYR589925:UYR589926 VIN589925:VIN589926 VSJ589925:VSJ589926 WCF589925:WCF589926 WMB589925:WMB589926 WVX589925:WVX589926 P655461:P655462 JL655461:JL655462 TH655461:TH655462 ADD655461:ADD655462 AMZ655461:AMZ655462 AWV655461:AWV655462 BGR655461:BGR655462 BQN655461:BQN655462 CAJ655461:CAJ655462 CKF655461:CKF655462 CUB655461:CUB655462 DDX655461:DDX655462 DNT655461:DNT655462 DXP655461:DXP655462 EHL655461:EHL655462 ERH655461:ERH655462 FBD655461:FBD655462 FKZ655461:FKZ655462 FUV655461:FUV655462 GER655461:GER655462 GON655461:GON655462 GYJ655461:GYJ655462 HIF655461:HIF655462 HSB655461:HSB655462 IBX655461:IBX655462 ILT655461:ILT655462 IVP655461:IVP655462 JFL655461:JFL655462 JPH655461:JPH655462 JZD655461:JZD655462 KIZ655461:KIZ655462 KSV655461:KSV655462 LCR655461:LCR655462 LMN655461:LMN655462 LWJ655461:LWJ655462 MGF655461:MGF655462 MQB655461:MQB655462 MZX655461:MZX655462 NJT655461:NJT655462 NTP655461:NTP655462 ODL655461:ODL655462 ONH655461:ONH655462 OXD655461:OXD655462 PGZ655461:PGZ655462 PQV655461:PQV655462 QAR655461:QAR655462 QKN655461:QKN655462 QUJ655461:QUJ655462 REF655461:REF655462 ROB655461:ROB655462 RXX655461:RXX655462 SHT655461:SHT655462 SRP655461:SRP655462 TBL655461:TBL655462 TLH655461:TLH655462 TVD655461:TVD655462 UEZ655461:UEZ655462 UOV655461:UOV655462 UYR655461:UYR655462 VIN655461:VIN655462 VSJ655461:VSJ655462 WCF655461:WCF655462 WMB655461:WMB655462 WVX655461:WVX655462 P720997:P720998 JL720997:JL720998 TH720997:TH720998 ADD720997:ADD720998 AMZ720997:AMZ720998 AWV720997:AWV720998 BGR720997:BGR720998 BQN720997:BQN720998 CAJ720997:CAJ720998 CKF720997:CKF720998 CUB720997:CUB720998 DDX720997:DDX720998 DNT720997:DNT720998 DXP720997:DXP720998 EHL720997:EHL720998 ERH720997:ERH720998 FBD720997:FBD720998 FKZ720997:FKZ720998 FUV720997:FUV720998 GER720997:GER720998 GON720997:GON720998 GYJ720997:GYJ720998 HIF720997:HIF720998 HSB720997:HSB720998 IBX720997:IBX720998 ILT720997:ILT720998 IVP720997:IVP720998 JFL720997:JFL720998 JPH720997:JPH720998 JZD720997:JZD720998 KIZ720997:KIZ720998 KSV720997:KSV720998 LCR720997:LCR720998 LMN720997:LMN720998 LWJ720997:LWJ720998 MGF720997:MGF720998 MQB720997:MQB720998 MZX720997:MZX720998 NJT720997:NJT720998 NTP720997:NTP720998 ODL720997:ODL720998 ONH720997:ONH720998 OXD720997:OXD720998 PGZ720997:PGZ720998 PQV720997:PQV720998 QAR720997:QAR720998 QKN720997:QKN720998 QUJ720997:QUJ720998 REF720997:REF720998 ROB720997:ROB720998 RXX720997:RXX720998 SHT720997:SHT720998 SRP720997:SRP720998 TBL720997:TBL720998 TLH720997:TLH720998 TVD720997:TVD720998 UEZ720997:UEZ720998 UOV720997:UOV720998 UYR720997:UYR720998 VIN720997:VIN720998 VSJ720997:VSJ720998 WCF720997:WCF720998 WMB720997:WMB720998 WVX720997:WVX720998 P786533:P786534 JL786533:JL786534 TH786533:TH786534 ADD786533:ADD786534 AMZ786533:AMZ786534 AWV786533:AWV786534 BGR786533:BGR786534 BQN786533:BQN786534 CAJ786533:CAJ786534 CKF786533:CKF786534 CUB786533:CUB786534 DDX786533:DDX786534 DNT786533:DNT786534 DXP786533:DXP786534 EHL786533:EHL786534 ERH786533:ERH786534 FBD786533:FBD786534 FKZ786533:FKZ786534 FUV786533:FUV786534 GER786533:GER786534 GON786533:GON786534 GYJ786533:GYJ786534 HIF786533:HIF786534 HSB786533:HSB786534 IBX786533:IBX786534 ILT786533:ILT786534 IVP786533:IVP786534 JFL786533:JFL786534 JPH786533:JPH786534 JZD786533:JZD786534 KIZ786533:KIZ786534 KSV786533:KSV786534 LCR786533:LCR786534 LMN786533:LMN786534 LWJ786533:LWJ786534 MGF786533:MGF786534 MQB786533:MQB786534 MZX786533:MZX786534 NJT786533:NJT786534 NTP786533:NTP786534 ODL786533:ODL786534 ONH786533:ONH786534 OXD786533:OXD786534 PGZ786533:PGZ786534 PQV786533:PQV786534 QAR786533:QAR786534 QKN786533:QKN786534 QUJ786533:QUJ786534 REF786533:REF786534 ROB786533:ROB786534 RXX786533:RXX786534 SHT786533:SHT786534 SRP786533:SRP786534 TBL786533:TBL786534 TLH786533:TLH786534 TVD786533:TVD786534 UEZ786533:UEZ786534 UOV786533:UOV786534 UYR786533:UYR786534 VIN786533:VIN786534 VSJ786533:VSJ786534 WCF786533:WCF786534 WMB786533:WMB786534 WVX786533:WVX786534 P852069:P852070 JL852069:JL852070 TH852069:TH852070 ADD852069:ADD852070 AMZ852069:AMZ852070 AWV852069:AWV852070 BGR852069:BGR852070 BQN852069:BQN852070 CAJ852069:CAJ852070 CKF852069:CKF852070 CUB852069:CUB852070 DDX852069:DDX852070 DNT852069:DNT852070 DXP852069:DXP852070 EHL852069:EHL852070 ERH852069:ERH852070 FBD852069:FBD852070 FKZ852069:FKZ852070 FUV852069:FUV852070 GER852069:GER852070 GON852069:GON852070 GYJ852069:GYJ852070 HIF852069:HIF852070 HSB852069:HSB852070 IBX852069:IBX852070 ILT852069:ILT852070 IVP852069:IVP852070 JFL852069:JFL852070 JPH852069:JPH852070 JZD852069:JZD852070 KIZ852069:KIZ852070 KSV852069:KSV852070 LCR852069:LCR852070 LMN852069:LMN852070 LWJ852069:LWJ852070 MGF852069:MGF852070 MQB852069:MQB852070 MZX852069:MZX852070 NJT852069:NJT852070 NTP852069:NTP852070 ODL852069:ODL852070 ONH852069:ONH852070 OXD852069:OXD852070 PGZ852069:PGZ852070 PQV852069:PQV852070 QAR852069:QAR852070 QKN852069:QKN852070 QUJ852069:QUJ852070 REF852069:REF852070 ROB852069:ROB852070 RXX852069:RXX852070 SHT852069:SHT852070 SRP852069:SRP852070 TBL852069:TBL852070 TLH852069:TLH852070 TVD852069:TVD852070 UEZ852069:UEZ852070 UOV852069:UOV852070 UYR852069:UYR852070 VIN852069:VIN852070 VSJ852069:VSJ852070 WCF852069:WCF852070 WMB852069:WMB852070 WVX852069:WVX852070 P917605:P917606 JL917605:JL917606 TH917605:TH917606 ADD917605:ADD917606 AMZ917605:AMZ917606 AWV917605:AWV917606 BGR917605:BGR917606 BQN917605:BQN917606 CAJ917605:CAJ917606 CKF917605:CKF917606 CUB917605:CUB917606 DDX917605:DDX917606 DNT917605:DNT917606 DXP917605:DXP917606 EHL917605:EHL917606 ERH917605:ERH917606 FBD917605:FBD917606 FKZ917605:FKZ917606 FUV917605:FUV917606 GER917605:GER917606 GON917605:GON917606 GYJ917605:GYJ917606 HIF917605:HIF917606 HSB917605:HSB917606 IBX917605:IBX917606 ILT917605:ILT917606 IVP917605:IVP917606 JFL917605:JFL917606 JPH917605:JPH917606 JZD917605:JZD917606 KIZ917605:KIZ917606 KSV917605:KSV917606 LCR917605:LCR917606 LMN917605:LMN917606 LWJ917605:LWJ917606 MGF917605:MGF917606 MQB917605:MQB917606 MZX917605:MZX917606 NJT917605:NJT917606 NTP917605:NTP917606 ODL917605:ODL917606 ONH917605:ONH917606 OXD917605:OXD917606 PGZ917605:PGZ917606 PQV917605:PQV917606 QAR917605:QAR917606 QKN917605:QKN917606 QUJ917605:QUJ917606 REF917605:REF917606 ROB917605:ROB917606 RXX917605:RXX917606 SHT917605:SHT917606 SRP917605:SRP917606 TBL917605:TBL917606 TLH917605:TLH917606 TVD917605:TVD917606 UEZ917605:UEZ917606 UOV917605:UOV917606 UYR917605:UYR917606 VIN917605:VIN917606 VSJ917605:VSJ917606 WCF917605:WCF917606 WMB917605:WMB917606 WVX917605:WVX917606 P983141:P983142 JL983141:JL983142 TH983141:TH983142 ADD983141:ADD983142 AMZ983141:AMZ983142 AWV983141:AWV983142 BGR983141:BGR983142 BQN983141:BQN983142 CAJ983141:CAJ983142 CKF983141:CKF983142 CUB983141:CUB983142 DDX983141:DDX983142 DNT983141:DNT983142 DXP983141:DXP983142 EHL983141:EHL983142 ERH983141:ERH983142 FBD983141:FBD983142 FKZ983141:FKZ983142 FUV983141:FUV983142 GER983141:GER983142 GON983141:GON983142 GYJ983141:GYJ983142 HIF983141:HIF983142 HSB983141:HSB983142 IBX983141:IBX983142 ILT983141:ILT983142 IVP983141:IVP983142 JFL983141:JFL983142 JPH983141:JPH983142 JZD983141:JZD983142 KIZ983141:KIZ983142 KSV983141:KSV983142 LCR983141:LCR983142 LMN983141:LMN983142 LWJ983141:LWJ983142 MGF983141:MGF983142 MQB983141:MQB983142 MZX983141:MZX983142 NJT983141:NJT983142 NTP983141:NTP983142 ODL983141:ODL983142 ONH983141:ONH983142 OXD983141:OXD983142 PGZ983141:PGZ983142 PQV983141:PQV983142 QAR983141:QAR983142 QKN983141:QKN983142 QUJ983141:QUJ983142 REF983141:REF983142 ROB983141:ROB983142 RXX983141:RXX983142 SHT983141:SHT983142 SRP983141:SRP983142 TBL983141:TBL983142 TLH983141:TLH983142 TVD983141:TVD983142 UEZ983141:UEZ983142 UOV983141:UOV983142 UYR983141:UYR983142 VIN983141:VIN983142 VSJ983141:VSJ983142 WCF983141:WCF983142 WMB983141:WMB983142 WVX983141:WVX983142 ADK105:ADK107 W65640:W65643 JS65640:JS65643 TO65640:TO65643 ADK65640:ADK65643 ANG65640:ANG65643 AXC65640:AXC65643 BGY65640:BGY65643 BQU65640:BQU65643 CAQ65640:CAQ65643 CKM65640:CKM65643 CUI65640:CUI65643 DEE65640:DEE65643 DOA65640:DOA65643 DXW65640:DXW65643 EHS65640:EHS65643 ERO65640:ERO65643 FBK65640:FBK65643 FLG65640:FLG65643 FVC65640:FVC65643 GEY65640:GEY65643 GOU65640:GOU65643 GYQ65640:GYQ65643 HIM65640:HIM65643 HSI65640:HSI65643 ICE65640:ICE65643 IMA65640:IMA65643 IVW65640:IVW65643 JFS65640:JFS65643 JPO65640:JPO65643 JZK65640:JZK65643 KJG65640:KJG65643 KTC65640:KTC65643 LCY65640:LCY65643 LMU65640:LMU65643 LWQ65640:LWQ65643 MGM65640:MGM65643 MQI65640:MQI65643 NAE65640:NAE65643 NKA65640:NKA65643 NTW65640:NTW65643 ODS65640:ODS65643 ONO65640:ONO65643 OXK65640:OXK65643 PHG65640:PHG65643 PRC65640:PRC65643 QAY65640:QAY65643 QKU65640:QKU65643 QUQ65640:QUQ65643 REM65640:REM65643 ROI65640:ROI65643 RYE65640:RYE65643 SIA65640:SIA65643 SRW65640:SRW65643 TBS65640:TBS65643 TLO65640:TLO65643 TVK65640:TVK65643 UFG65640:UFG65643 UPC65640:UPC65643 UYY65640:UYY65643 VIU65640:VIU65643 VSQ65640:VSQ65643 WCM65640:WCM65643 WMI65640:WMI65643 WWE65640:WWE65643 W131176:W131179 JS131176:JS131179 TO131176:TO131179 ADK131176:ADK131179 ANG131176:ANG131179 AXC131176:AXC131179 BGY131176:BGY131179 BQU131176:BQU131179 CAQ131176:CAQ131179 CKM131176:CKM131179 CUI131176:CUI131179 DEE131176:DEE131179 DOA131176:DOA131179 DXW131176:DXW131179 EHS131176:EHS131179 ERO131176:ERO131179 FBK131176:FBK131179 FLG131176:FLG131179 FVC131176:FVC131179 GEY131176:GEY131179 GOU131176:GOU131179 GYQ131176:GYQ131179 HIM131176:HIM131179 HSI131176:HSI131179 ICE131176:ICE131179 IMA131176:IMA131179 IVW131176:IVW131179 JFS131176:JFS131179 JPO131176:JPO131179 JZK131176:JZK131179 KJG131176:KJG131179 KTC131176:KTC131179 LCY131176:LCY131179 LMU131176:LMU131179 LWQ131176:LWQ131179 MGM131176:MGM131179 MQI131176:MQI131179 NAE131176:NAE131179 NKA131176:NKA131179 NTW131176:NTW131179 ODS131176:ODS131179 ONO131176:ONO131179 OXK131176:OXK131179 PHG131176:PHG131179 PRC131176:PRC131179 QAY131176:QAY131179 QKU131176:QKU131179 QUQ131176:QUQ131179 REM131176:REM131179 ROI131176:ROI131179 RYE131176:RYE131179 SIA131176:SIA131179 SRW131176:SRW131179 TBS131176:TBS131179 TLO131176:TLO131179 TVK131176:TVK131179 UFG131176:UFG131179 UPC131176:UPC131179 UYY131176:UYY131179 VIU131176:VIU131179 VSQ131176:VSQ131179 WCM131176:WCM131179 WMI131176:WMI131179 WWE131176:WWE131179 W196712:W196715 JS196712:JS196715 TO196712:TO196715 ADK196712:ADK196715 ANG196712:ANG196715 AXC196712:AXC196715 BGY196712:BGY196715 BQU196712:BQU196715 CAQ196712:CAQ196715 CKM196712:CKM196715 CUI196712:CUI196715 DEE196712:DEE196715 DOA196712:DOA196715 DXW196712:DXW196715 EHS196712:EHS196715 ERO196712:ERO196715 FBK196712:FBK196715 FLG196712:FLG196715 FVC196712:FVC196715 GEY196712:GEY196715 GOU196712:GOU196715 GYQ196712:GYQ196715 HIM196712:HIM196715 HSI196712:HSI196715 ICE196712:ICE196715 IMA196712:IMA196715 IVW196712:IVW196715 JFS196712:JFS196715 JPO196712:JPO196715 JZK196712:JZK196715 KJG196712:KJG196715 KTC196712:KTC196715 LCY196712:LCY196715 LMU196712:LMU196715 LWQ196712:LWQ196715 MGM196712:MGM196715 MQI196712:MQI196715 NAE196712:NAE196715 NKA196712:NKA196715 NTW196712:NTW196715 ODS196712:ODS196715 ONO196712:ONO196715 OXK196712:OXK196715 PHG196712:PHG196715 PRC196712:PRC196715 QAY196712:QAY196715 QKU196712:QKU196715 QUQ196712:QUQ196715 REM196712:REM196715 ROI196712:ROI196715 RYE196712:RYE196715 SIA196712:SIA196715 SRW196712:SRW196715 TBS196712:TBS196715 TLO196712:TLO196715 TVK196712:TVK196715 UFG196712:UFG196715 UPC196712:UPC196715 UYY196712:UYY196715 VIU196712:VIU196715 VSQ196712:VSQ196715 WCM196712:WCM196715 WMI196712:WMI196715 WWE196712:WWE196715 W262248:W262251 JS262248:JS262251 TO262248:TO262251 ADK262248:ADK262251 ANG262248:ANG262251 AXC262248:AXC262251 BGY262248:BGY262251 BQU262248:BQU262251 CAQ262248:CAQ262251 CKM262248:CKM262251 CUI262248:CUI262251 DEE262248:DEE262251 DOA262248:DOA262251 DXW262248:DXW262251 EHS262248:EHS262251 ERO262248:ERO262251 FBK262248:FBK262251 FLG262248:FLG262251 FVC262248:FVC262251 GEY262248:GEY262251 GOU262248:GOU262251 GYQ262248:GYQ262251 HIM262248:HIM262251 HSI262248:HSI262251 ICE262248:ICE262251 IMA262248:IMA262251 IVW262248:IVW262251 JFS262248:JFS262251 JPO262248:JPO262251 JZK262248:JZK262251 KJG262248:KJG262251 KTC262248:KTC262251 LCY262248:LCY262251 LMU262248:LMU262251 LWQ262248:LWQ262251 MGM262248:MGM262251 MQI262248:MQI262251 NAE262248:NAE262251 NKA262248:NKA262251 NTW262248:NTW262251 ODS262248:ODS262251 ONO262248:ONO262251 OXK262248:OXK262251 PHG262248:PHG262251 PRC262248:PRC262251 QAY262248:QAY262251 QKU262248:QKU262251 QUQ262248:QUQ262251 REM262248:REM262251 ROI262248:ROI262251 RYE262248:RYE262251 SIA262248:SIA262251 SRW262248:SRW262251 TBS262248:TBS262251 TLO262248:TLO262251 TVK262248:TVK262251 UFG262248:UFG262251 UPC262248:UPC262251 UYY262248:UYY262251 VIU262248:VIU262251 VSQ262248:VSQ262251 WCM262248:WCM262251 WMI262248:WMI262251 WWE262248:WWE262251 W327784:W327787 JS327784:JS327787 TO327784:TO327787 ADK327784:ADK327787 ANG327784:ANG327787 AXC327784:AXC327787 BGY327784:BGY327787 BQU327784:BQU327787 CAQ327784:CAQ327787 CKM327784:CKM327787 CUI327784:CUI327787 DEE327784:DEE327787 DOA327784:DOA327787 DXW327784:DXW327787 EHS327784:EHS327787 ERO327784:ERO327787 FBK327784:FBK327787 FLG327784:FLG327787 FVC327784:FVC327787 GEY327784:GEY327787 GOU327784:GOU327787 GYQ327784:GYQ327787 HIM327784:HIM327787 HSI327784:HSI327787 ICE327784:ICE327787 IMA327784:IMA327787 IVW327784:IVW327787 JFS327784:JFS327787 JPO327784:JPO327787 JZK327784:JZK327787 KJG327784:KJG327787 KTC327784:KTC327787 LCY327784:LCY327787 LMU327784:LMU327787 LWQ327784:LWQ327787 MGM327784:MGM327787 MQI327784:MQI327787 NAE327784:NAE327787 NKA327784:NKA327787 NTW327784:NTW327787 ODS327784:ODS327787 ONO327784:ONO327787 OXK327784:OXK327787 PHG327784:PHG327787 PRC327784:PRC327787 QAY327784:QAY327787 QKU327784:QKU327787 QUQ327784:QUQ327787 REM327784:REM327787 ROI327784:ROI327787 RYE327784:RYE327787 SIA327784:SIA327787 SRW327784:SRW327787 TBS327784:TBS327787 TLO327784:TLO327787 TVK327784:TVK327787 UFG327784:UFG327787 UPC327784:UPC327787 UYY327784:UYY327787 VIU327784:VIU327787 VSQ327784:VSQ327787 WCM327784:WCM327787 WMI327784:WMI327787 WWE327784:WWE327787 W393320:W393323 JS393320:JS393323 TO393320:TO393323 ADK393320:ADK393323 ANG393320:ANG393323 AXC393320:AXC393323 BGY393320:BGY393323 BQU393320:BQU393323 CAQ393320:CAQ393323 CKM393320:CKM393323 CUI393320:CUI393323 DEE393320:DEE393323 DOA393320:DOA393323 DXW393320:DXW393323 EHS393320:EHS393323 ERO393320:ERO393323 FBK393320:FBK393323 FLG393320:FLG393323 FVC393320:FVC393323 GEY393320:GEY393323 GOU393320:GOU393323 GYQ393320:GYQ393323 HIM393320:HIM393323 HSI393320:HSI393323 ICE393320:ICE393323 IMA393320:IMA393323 IVW393320:IVW393323 JFS393320:JFS393323 JPO393320:JPO393323 JZK393320:JZK393323 KJG393320:KJG393323 KTC393320:KTC393323 LCY393320:LCY393323 LMU393320:LMU393323 LWQ393320:LWQ393323 MGM393320:MGM393323 MQI393320:MQI393323 NAE393320:NAE393323 NKA393320:NKA393323 NTW393320:NTW393323 ODS393320:ODS393323 ONO393320:ONO393323 OXK393320:OXK393323 PHG393320:PHG393323 PRC393320:PRC393323 QAY393320:QAY393323 QKU393320:QKU393323 QUQ393320:QUQ393323 REM393320:REM393323 ROI393320:ROI393323 RYE393320:RYE393323 SIA393320:SIA393323 SRW393320:SRW393323 TBS393320:TBS393323 TLO393320:TLO393323 TVK393320:TVK393323 UFG393320:UFG393323 UPC393320:UPC393323 UYY393320:UYY393323 VIU393320:VIU393323 VSQ393320:VSQ393323 WCM393320:WCM393323 WMI393320:WMI393323 WWE393320:WWE393323 W458856:W458859 JS458856:JS458859 TO458856:TO458859 ADK458856:ADK458859 ANG458856:ANG458859 AXC458856:AXC458859 BGY458856:BGY458859 BQU458856:BQU458859 CAQ458856:CAQ458859 CKM458856:CKM458859 CUI458856:CUI458859 DEE458856:DEE458859 DOA458856:DOA458859 DXW458856:DXW458859 EHS458856:EHS458859 ERO458856:ERO458859 FBK458856:FBK458859 FLG458856:FLG458859 FVC458856:FVC458859 GEY458856:GEY458859 GOU458856:GOU458859 GYQ458856:GYQ458859 HIM458856:HIM458859 HSI458856:HSI458859 ICE458856:ICE458859 IMA458856:IMA458859 IVW458856:IVW458859 JFS458856:JFS458859 JPO458856:JPO458859 JZK458856:JZK458859 KJG458856:KJG458859 KTC458856:KTC458859 LCY458856:LCY458859 LMU458856:LMU458859 LWQ458856:LWQ458859 MGM458856:MGM458859 MQI458856:MQI458859 NAE458856:NAE458859 NKA458856:NKA458859 NTW458856:NTW458859 ODS458856:ODS458859 ONO458856:ONO458859 OXK458856:OXK458859 PHG458856:PHG458859 PRC458856:PRC458859 QAY458856:QAY458859 QKU458856:QKU458859 QUQ458856:QUQ458859 REM458856:REM458859 ROI458856:ROI458859 RYE458856:RYE458859 SIA458856:SIA458859 SRW458856:SRW458859 TBS458856:TBS458859 TLO458856:TLO458859 TVK458856:TVK458859 UFG458856:UFG458859 UPC458856:UPC458859 UYY458856:UYY458859 VIU458856:VIU458859 VSQ458856:VSQ458859 WCM458856:WCM458859 WMI458856:WMI458859 WWE458856:WWE458859 W524392:W524395 JS524392:JS524395 TO524392:TO524395 ADK524392:ADK524395 ANG524392:ANG524395 AXC524392:AXC524395 BGY524392:BGY524395 BQU524392:BQU524395 CAQ524392:CAQ524395 CKM524392:CKM524395 CUI524392:CUI524395 DEE524392:DEE524395 DOA524392:DOA524395 DXW524392:DXW524395 EHS524392:EHS524395 ERO524392:ERO524395 FBK524392:FBK524395 FLG524392:FLG524395 FVC524392:FVC524395 GEY524392:GEY524395 GOU524392:GOU524395 GYQ524392:GYQ524395 HIM524392:HIM524395 HSI524392:HSI524395 ICE524392:ICE524395 IMA524392:IMA524395 IVW524392:IVW524395 JFS524392:JFS524395 JPO524392:JPO524395 JZK524392:JZK524395 KJG524392:KJG524395 KTC524392:KTC524395 LCY524392:LCY524395 LMU524392:LMU524395 LWQ524392:LWQ524395 MGM524392:MGM524395 MQI524392:MQI524395 NAE524392:NAE524395 NKA524392:NKA524395 NTW524392:NTW524395 ODS524392:ODS524395 ONO524392:ONO524395 OXK524392:OXK524395 PHG524392:PHG524395 PRC524392:PRC524395 QAY524392:QAY524395 QKU524392:QKU524395 QUQ524392:QUQ524395 REM524392:REM524395 ROI524392:ROI524395 RYE524392:RYE524395 SIA524392:SIA524395 SRW524392:SRW524395 TBS524392:TBS524395 TLO524392:TLO524395 TVK524392:TVK524395 UFG524392:UFG524395 UPC524392:UPC524395 UYY524392:UYY524395 VIU524392:VIU524395 VSQ524392:VSQ524395 WCM524392:WCM524395 WMI524392:WMI524395 WWE524392:WWE524395 W589928:W589931 JS589928:JS589931 TO589928:TO589931 ADK589928:ADK589931 ANG589928:ANG589931 AXC589928:AXC589931 BGY589928:BGY589931 BQU589928:BQU589931 CAQ589928:CAQ589931 CKM589928:CKM589931 CUI589928:CUI589931 DEE589928:DEE589931 DOA589928:DOA589931 DXW589928:DXW589931 EHS589928:EHS589931 ERO589928:ERO589931 FBK589928:FBK589931 FLG589928:FLG589931 FVC589928:FVC589931 GEY589928:GEY589931 GOU589928:GOU589931 GYQ589928:GYQ589931 HIM589928:HIM589931 HSI589928:HSI589931 ICE589928:ICE589931 IMA589928:IMA589931 IVW589928:IVW589931 JFS589928:JFS589931 JPO589928:JPO589931 JZK589928:JZK589931 KJG589928:KJG589931 KTC589928:KTC589931 LCY589928:LCY589931 LMU589928:LMU589931 LWQ589928:LWQ589931 MGM589928:MGM589931 MQI589928:MQI589931 NAE589928:NAE589931 NKA589928:NKA589931 NTW589928:NTW589931 ODS589928:ODS589931 ONO589928:ONO589931 OXK589928:OXK589931 PHG589928:PHG589931 PRC589928:PRC589931 QAY589928:QAY589931 QKU589928:QKU589931 QUQ589928:QUQ589931 REM589928:REM589931 ROI589928:ROI589931 RYE589928:RYE589931 SIA589928:SIA589931 SRW589928:SRW589931 TBS589928:TBS589931 TLO589928:TLO589931 TVK589928:TVK589931 UFG589928:UFG589931 UPC589928:UPC589931 UYY589928:UYY589931 VIU589928:VIU589931 VSQ589928:VSQ589931 WCM589928:WCM589931 WMI589928:WMI589931 WWE589928:WWE589931 W655464:W655467 JS655464:JS655467 TO655464:TO655467 ADK655464:ADK655467 ANG655464:ANG655467 AXC655464:AXC655467 BGY655464:BGY655467 BQU655464:BQU655467 CAQ655464:CAQ655467 CKM655464:CKM655467 CUI655464:CUI655467 DEE655464:DEE655467 DOA655464:DOA655467 DXW655464:DXW655467 EHS655464:EHS655467 ERO655464:ERO655467 FBK655464:FBK655467 FLG655464:FLG655467 FVC655464:FVC655467 GEY655464:GEY655467 GOU655464:GOU655467 GYQ655464:GYQ655467 HIM655464:HIM655467 HSI655464:HSI655467 ICE655464:ICE655467 IMA655464:IMA655467 IVW655464:IVW655467 JFS655464:JFS655467 JPO655464:JPO655467 JZK655464:JZK655467 KJG655464:KJG655467 KTC655464:KTC655467 LCY655464:LCY655467 LMU655464:LMU655467 LWQ655464:LWQ655467 MGM655464:MGM655467 MQI655464:MQI655467 NAE655464:NAE655467 NKA655464:NKA655467 NTW655464:NTW655467 ODS655464:ODS655467 ONO655464:ONO655467 OXK655464:OXK655467 PHG655464:PHG655467 PRC655464:PRC655467 QAY655464:QAY655467 QKU655464:QKU655467 QUQ655464:QUQ655467 REM655464:REM655467 ROI655464:ROI655467 RYE655464:RYE655467 SIA655464:SIA655467 SRW655464:SRW655467 TBS655464:TBS655467 TLO655464:TLO655467 TVK655464:TVK655467 UFG655464:UFG655467 UPC655464:UPC655467 UYY655464:UYY655467 VIU655464:VIU655467 VSQ655464:VSQ655467 WCM655464:WCM655467 WMI655464:WMI655467 WWE655464:WWE655467 W721000:W721003 JS721000:JS721003 TO721000:TO721003 ADK721000:ADK721003 ANG721000:ANG721003 AXC721000:AXC721003 BGY721000:BGY721003 BQU721000:BQU721003 CAQ721000:CAQ721003 CKM721000:CKM721003 CUI721000:CUI721003 DEE721000:DEE721003 DOA721000:DOA721003 DXW721000:DXW721003 EHS721000:EHS721003 ERO721000:ERO721003 FBK721000:FBK721003 FLG721000:FLG721003 FVC721000:FVC721003 GEY721000:GEY721003 GOU721000:GOU721003 GYQ721000:GYQ721003 HIM721000:HIM721003 HSI721000:HSI721003 ICE721000:ICE721003 IMA721000:IMA721003 IVW721000:IVW721003 JFS721000:JFS721003 JPO721000:JPO721003 JZK721000:JZK721003 KJG721000:KJG721003 KTC721000:KTC721003 LCY721000:LCY721003 LMU721000:LMU721003 LWQ721000:LWQ721003 MGM721000:MGM721003 MQI721000:MQI721003 NAE721000:NAE721003 NKA721000:NKA721003 NTW721000:NTW721003 ODS721000:ODS721003 ONO721000:ONO721003 OXK721000:OXK721003 PHG721000:PHG721003 PRC721000:PRC721003 QAY721000:QAY721003 QKU721000:QKU721003 QUQ721000:QUQ721003 REM721000:REM721003 ROI721000:ROI721003 RYE721000:RYE721003 SIA721000:SIA721003 SRW721000:SRW721003 TBS721000:TBS721003 TLO721000:TLO721003 TVK721000:TVK721003 UFG721000:UFG721003 UPC721000:UPC721003 UYY721000:UYY721003 VIU721000:VIU721003 VSQ721000:VSQ721003 WCM721000:WCM721003 WMI721000:WMI721003 WWE721000:WWE721003 W786536:W786539 JS786536:JS786539 TO786536:TO786539 ADK786536:ADK786539 ANG786536:ANG786539 AXC786536:AXC786539 BGY786536:BGY786539 BQU786536:BQU786539 CAQ786536:CAQ786539 CKM786536:CKM786539 CUI786536:CUI786539 DEE786536:DEE786539 DOA786536:DOA786539 DXW786536:DXW786539 EHS786536:EHS786539 ERO786536:ERO786539 FBK786536:FBK786539 FLG786536:FLG786539 FVC786536:FVC786539 GEY786536:GEY786539 GOU786536:GOU786539 GYQ786536:GYQ786539 HIM786536:HIM786539 HSI786536:HSI786539 ICE786536:ICE786539 IMA786536:IMA786539 IVW786536:IVW786539 JFS786536:JFS786539 JPO786536:JPO786539 JZK786536:JZK786539 KJG786536:KJG786539 KTC786536:KTC786539 LCY786536:LCY786539 LMU786536:LMU786539 LWQ786536:LWQ786539 MGM786536:MGM786539 MQI786536:MQI786539 NAE786536:NAE786539 NKA786536:NKA786539 NTW786536:NTW786539 ODS786536:ODS786539 ONO786536:ONO786539 OXK786536:OXK786539 PHG786536:PHG786539 PRC786536:PRC786539 QAY786536:QAY786539 QKU786536:QKU786539 QUQ786536:QUQ786539 REM786536:REM786539 ROI786536:ROI786539 RYE786536:RYE786539 SIA786536:SIA786539 SRW786536:SRW786539 TBS786536:TBS786539 TLO786536:TLO786539 TVK786536:TVK786539 UFG786536:UFG786539 UPC786536:UPC786539 UYY786536:UYY786539 VIU786536:VIU786539 VSQ786536:VSQ786539 WCM786536:WCM786539 WMI786536:WMI786539 WWE786536:WWE786539 W852072:W852075 JS852072:JS852075 TO852072:TO852075 ADK852072:ADK852075 ANG852072:ANG852075 AXC852072:AXC852075 BGY852072:BGY852075 BQU852072:BQU852075 CAQ852072:CAQ852075 CKM852072:CKM852075 CUI852072:CUI852075 DEE852072:DEE852075 DOA852072:DOA852075 DXW852072:DXW852075 EHS852072:EHS852075 ERO852072:ERO852075 FBK852072:FBK852075 FLG852072:FLG852075 FVC852072:FVC852075 GEY852072:GEY852075 GOU852072:GOU852075 GYQ852072:GYQ852075 HIM852072:HIM852075 HSI852072:HSI852075 ICE852072:ICE852075 IMA852072:IMA852075 IVW852072:IVW852075 JFS852072:JFS852075 JPO852072:JPO852075 JZK852072:JZK852075 KJG852072:KJG852075 KTC852072:KTC852075 LCY852072:LCY852075 LMU852072:LMU852075 LWQ852072:LWQ852075 MGM852072:MGM852075 MQI852072:MQI852075 NAE852072:NAE852075 NKA852072:NKA852075 NTW852072:NTW852075 ODS852072:ODS852075 ONO852072:ONO852075 OXK852072:OXK852075 PHG852072:PHG852075 PRC852072:PRC852075 QAY852072:QAY852075 QKU852072:QKU852075 QUQ852072:QUQ852075 REM852072:REM852075 ROI852072:ROI852075 RYE852072:RYE852075 SIA852072:SIA852075 SRW852072:SRW852075 TBS852072:TBS852075 TLO852072:TLO852075 TVK852072:TVK852075 UFG852072:UFG852075 UPC852072:UPC852075 UYY852072:UYY852075 VIU852072:VIU852075 VSQ852072:VSQ852075 WCM852072:WCM852075 WMI852072:WMI852075 WWE852072:WWE852075 W917608:W917611 JS917608:JS917611 TO917608:TO917611 ADK917608:ADK917611 ANG917608:ANG917611 AXC917608:AXC917611 BGY917608:BGY917611 BQU917608:BQU917611 CAQ917608:CAQ917611 CKM917608:CKM917611 CUI917608:CUI917611 DEE917608:DEE917611 DOA917608:DOA917611 DXW917608:DXW917611 EHS917608:EHS917611 ERO917608:ERO917611 FBK917608:FBK917611 FLG917608:FLG917611 FVC917608:FVC917611 GEY917608:GEY917611 GOU917608:GOU917611 GYQ917608:GYQ917611 HIM917608:HIM917611 HSI917608:HSI917611 ICE917608:ICE917611 IMA917608:IMA917611 IVW917608:IVW917611 JFS917608:JFS917611 JPO917608:JPO917611 JZK917608:JZK917611 KJG917608:KJG917611 KTC917608:KTC917611 LCY917608:LCY917611 LMU917608:LMU917611 LWQ917608:LWQ917611 MGM917608:MGM917611 MQI917608:MQI917611 NAE917608:NAE917611 NKA917608:NKA917611 NTW917608:NTW917611 ODS917608:ODS917611 ONO917608:ONO917611 OXK917608:OXK917611 PHG917608:PHG917611 PRC917608:PRC917611 QAY917608:QAY917611 QKU917608:QKU917611 QUQ917608:QUQ917611 REM917608:REM917611 ROI917608:ROI917611 RYE917608:RYE917611 SIA917608:SIA917611 SRW917608:SRW917611 TBS917608:TBS917611 TLO917608:TLO917611 TVK917608:TVK917611 UFG917608:UFG917611 UPC917608:UPC917611 UYY917608:UYY917611 VIU917608:VIU917611 VSQ917608:VSQ917611 WCM917608:WCM917611 WMI917608:WMI917611 WWE917608:WWE917611 W983144:W983147 JS983144:JS983147 TO983144:TO983147 ADK983144:ADK983147 ANG983144:ANG983147 AXC983144:AXC983147 BGY983144:BGY983147 BQU983144:BQU983147 CAQ983144:CAQ983147 CKM983144:CKM983147 CUI983144:CUI983147 DEE983144:DEE983147 DOA983144:DOA983147 DXW983144:DXW983147 EHS983144:EHS983147 ERO983144:ERO983147 FBK983144:FBK983147 FLG983144:FLG983147 FVC983144:FVC983147 GEY983144:GEY983147 GOU983144:GOU983147 GYQ983144:GYQ983147 HIM983144:HIM983147 HSI983144:HSI983147 ICE983144:ICE983147 IMA983144:IMA983147 IVW983144:IVW983147 JFS983144:JFS983147 JPO983144:JPO983147 JZK983144:JZK983147 KJG983144:KJG983147 KTC983144:KTC983147 LCY983144:LCY983147 LMU983144:LMU983147 LWQ983144:LWQ983147 MGM983144:MGM983147 MQI983144:MQI983147 NAE983144:NAE983147 NKA983144:NKA983147 NTW983144:NTW983147 ODS983144:ODS983147 ONO983144:ONO983147 OXK983144:OXK983147 PHG983144:PHG983147 PRC983144:PRC983147 QAY983144:QAY983147 QKU983144:QKU983147 QUQ983144:QUQ983147 REM983144:REM983147 ROI983144:ROI983147 RYE983144:RYE983147 SIA983144:SIA983147 SRW983144:SRW983147 TBS983144:TBS983147 TLO983144:TLO983147 TVK983144:TVK983147 UFG983144:UFG983147 UPC983144:UPC983147 UYY983144:UYY983147 VIU983144:VIU983147 VSQ983144:VSQ983147 WCM983144:WCM983147 WMI983144:WMI983147 WWE983144:WWE983147 M65639:M65643 JI65639:JI65643 TE65639:TE65643 ADA65639:ADA65643 AMW65639:AMW65643 AWS65639:AWS65643 BGO65639:BGO65643 BQK65639:BQK65643 CAG65639:CAG65643 CKC65639:CKC65643 CTY65639:CTY65643 DDU65639:DDU65643 DNQ65639:DNQ65643 DXM65639:DXM65643 EHI65639:EHI65643 ERE65639:ERE65643 FBA65639:FBA65643 FKW65639:FKW65643 FUS65639:FUS65643 GEO65639:GEO65643 GOK65639:GOK65643 GYG65639:GYG65643 HIC65639:HIC65643 HRY65639:HRY65643 IBU65639:IBU65643 ILQ65639:ILQ65643 IVM65639:IVM65643 JFI65639:JFI65643 JPE65639:JPE65643 JZA65639:JZA65643 KIW65639:KIW65643 KSS65639:KSS65643 LCO65639:LCO65643 LMK65639:LMK65643 LWG65639:LWG65643 MGC65639:MGC65643 MPY65639:MPY65643 MZU65639:MZU65643 NJQ65639:NJQ65643 NTM65639:NTM65643 ODI65639:ODI65643 ONE65639:ONE65643 OXA65639:OXA65643 PGW65639:PGW65643 PQS65639:PQS65643 QAO65639:QAO65643 QKK65639:QKK65643 QUG65639:QUG65643 REC65639:REC65643 RNY65639:RNY65643 RXU65639:RXU65643 SHQ65639:SHQ65643 SRM65639:SRM65643 TBI65639:TBI65643 TLE65639:TLE65643 TVA65639:TVA65643 UEW65639:UEW65643 UOS65639:UOS65643 UYO65639:UYO65643 VIK65639:VIK65643 VSG65639:VSG65643 WCC65639:WCC65643 WLY65639:WLY65643 WVU65639:WVU65643 M131175:M131179 JI131175:JI131179 TE131175:TE131179 ADA131175:ADA131179 AMW131175:AMW131179 AWS131175:AWS131179 BGO131175:BGO131179 BQK131175:BQK131179 CAG131175:CAG131179 CKC131175:CKC131179 CTY131175:CTY131179 DDU131175:DDU131179 DNQ131175:DNQ131179 DXM131175:DXM131179 EHI131175:EHI131179 ERE131175:ERE131179 FBA131175:FBA131179 FKW131175:FKW131179 FUS131175:FUS131179 GEO131175:GEO131179 GOK131175:GOK131179 GYG131175:GYG131179 HIC131175:HIC131179 HRY131175:HRY131179 IBU131175:IBU131179 ILQ131175:ILQ131179 IVM131175:IVM131179 JFI131175:JFI131179 JPE131175:JPE131179 JZA131175:JZA131179 KIW131175:KIW131179 KSS131175:KSS131179 LCO131175:LCO131179 LMK131175:LMK131179 LWG131175:LWG131179 MGC131175:MGC131179 MPY131175:MPY131179 MZU131175:MZU131179 NJQ131175:NJQ131179 NTM131175:NTM131179 ODI131175:ODI131179 ONE131175:ONE131179 OXA131175:OXA131179 PGW131175:PGW131179 PQS131175:PQS131179 QAO131175:QAO131179 QKK131175:QKK131179 QUG131175:QUG131179 REC131175:REC131179 RNY131175:RNY131179 RXU131175:RXU131179 SHQ131175:SHQ131179 SRM131175:SRM131179 TBI131175:TBI131179 TLE131175:TLE131179 TVA131175:TVA131179 UEW131175:UEW131179 UOS131175:UOS131179 UYO131175:UYO131179 VIK131175:VIK131179 VSG131175:VSG131179 WCC131175:WCC131179 WLY131175:WLY131179 WVU131175:WVU131179 M196711:M196715 JI196711:JI196715 TE196711:TE196715 ADA196711:ADA196715 AMW196711:AMW196715 AWS196711:AWS196715 BGO196711:BGO196715 BQK196711:BQK196715 CAG196711:CAG196715 CKC196711:CKC196715 CTY196711:CTY196715 DDU196711:DDU196715 DNQ196711:DNQ196715 DXM196711:DXM196715 EHI196711:EHI196715 ERE196711:ERE196715 FBA196711:FBA196715 FKW196711:FKW196715 FUS196711:FUS196715 GEO196711:GEO196715 GOK196711:GOK196715 GYG196711:GYG196715 HIC196711:HIC196715 HRY196711:HRY196715 IBU196711:IBU196715 ILQ196711:ILQ196715 IVM196711:IVM196715 JFI196711:JFI196715 JPE196711:JPE196715 JZA196711:JZA196715 KIW196711:KIW196715 KSS196711:KSS196715 LCO196711:LCO196715 LMK196711:LMK196715 LWG196711:LWG196715 MGC196711:MGC196715 MPY196711:MPY196715 MZU196711:MZU196715 NJQ196711:NJQ196715 NTM196711:NTM196715 ODI196711:ODI196715 ONE196711:ONE196715 OXA196711:OXA196715 PGW196711:PGW196715 PQS196711:PQS196715 QAO196711:QAO196715 QKK196711:QKK196715 QUG196711:QUG196715 REC196711:REC196715 RNY196711:RNY196715 RXU196711:RXU196715 SHQ196711:SHQ196715 SRM196711:SRM196715 TBI196711:TBI196715 TLE196711:TLE196715 TVA196711:TVA196715 UEW196711:UEW196715 UOS196711:UOS196715 UYO196711:UYO196715 VIK196711:VIK196715 VSG196711:VSG196715 WCC196711:WCC196715 WLY196711:WLY196715 WVU196711:WVU196715 M262247:M262251 JI262247:JI262251 TE262247:TE262251 ADA262247:ADA262251 AMW262247:AMW262251 AWS262247:AWS262251 BGO262247:BGO262251 BQK262247:BQK262251 CAG262247:CAG262251 CKC262247:CKC262251 CTY262247:CTY262251 DDU262247:DDU262251 DNQ262247:DNQ262251 DXM262247:DXM262251 EHI262247:EHI262251 ERE262247:ERE262251 FBA262247:FBA262251 FKW262247:FKW262251 FUS262247:FUS262251 GEO262247:GEO262251 GOK262247:GOK262251 GYG262247:GYG262251 HIC262247:HIC262251 HRY262247:HRY262251 IBU262247:IBU262251 ILQ262247:ILQ262251 IVM262247:IVM262251 JFI262247:JFI262251 JPE262247:JPE262251 JZA262247:JZA262251 KIW262247:KIW262251 KSS262247:KSS262251 LCO262247:LCO262251 LMK262247:LMK262251 LWG262247:LWG262251 MGC262247:MGC262251 MPY262247:MPY262251 MZU262247:MZU262251 NJQ262247:NJQ262251 NTM262247:NTM262251 ODI262247:ODI262251 ONE262247:ONE262251 OXA262247:OXA262251 PGW262247:PGW262251 PQS262247:PQS262251 QAO262247:QAO262251 QKK262247:QKK262251 QUG262247:QUG262251 REC262247:REC262251 RNY262247:RNY262251 RXU262247:RXU262251 SHQ262247:SHQ262251 SRM262247:SRM262251 TBI262247:TBI262251 TLE262247:TLE262251 TVA262247:TVA262251 UEW262247:UEW262251 UOS262247:UOS262251 UYO262247:UYO262251 VIK262247:VIK262251 VSG262247:VSG262251 WCC262247:WCC262251 WLY262247:WLY262251 WVU262247:WVU262251 M327783:M327787 JI327783:JI327787 TE327783:TE327787 ADA327783:ADA327787 AMW327783:AMW327787 AWS327783:AWS327787 BGO327783:BGO327787 BQK327783:BQK327787 CAG327783:CAG327787 CKC327783:CKC327787 CTY327783:CTY327787 DDU327783:DDU327787 DNQ327783:DNQ327787 DXM327783:DXM327787 EHI327783:EHI327787 ERE327783:ERE327787 FBA327783:FBA327787 FKW327783:FKW327787 FUS327783:FUS327787 GEO327783:GEO327787 GOK327783:GOK327787 GYG327783:GYG327787 HIC327783:HIC327787 HRY327783:HRY327787 IBU327783:IBU327787 ILQ327783:ILQ327787 IVM327783:IVM327787 JFI327783:JFI327787 JPE327783:JPE327787 JZA327783:JZA327787 KIW327783:KIW327787 KSS327783:KSS327787 LCO327783:LCO327787 LMK327783:LMK327787 LWG327783:LWG327787 MGC327783:MGC327787 MPY327783:MPY327787 MZU327783:MZU327787 NJQ327783:NJQ327787 NTM327783:NTM327787 ODI327783:ODI327787 ONE327783:ONE327787 OXA327783:OXA327787 PGW327783:PGW327787 PQS327783:PQS327787 QAO327783:QAO327787 QKK327783:QKK327787 QUG327783:QUG327787 REC327783:REC327787 RNY327783:RNY327787 RXU327783:RXU327787 SHQ327783:SHQ327787 SRM327783:SRM327787 TBI327783:TBI327787 TLE327783:TLE327787 TVA327783:TVA327787 UEW327783:UEW327787 UOS327783:UOS327787 UYO327783:UYO327787 VIK327783:VIK327787 VSG327783:VSG327787 WCC327783:WCC327787 WLY327783:WLY327787 WVU327783:WVU327787 M393319:M393323 JI393319:JI393323 TE393319:TE393323 ADA393319:ADA393323 AMW393319:AMW393323 AWS393319:AWS393323 BGO393319:BGO393323 BQK393319:BQK393323 CAG393319:CAG393323 CKC393319:CKC393323 CTY393319:CTY393323 DDU393319:DDU393323 DNQ393319:DNQ393323 DXM393319:DXM393323 EHI393319:EHI393323 ERE393319:ERE393323 FBA393319:FBA393323 FKW393319:FKW393323 FUS393319:FUS393323 GEO393319:GEO393323 GOK393319:GOK393323 GYG393319:GYG393323 HIC393319:HIC393323 HRY393319:HRY393323 IBU393319:IBU393323 ILQ393319:ILQ393323 IVM393319:IVM393323 JFI393319:JFI393323 JPE393319:JPE393323 JZA393319:JZA393323 KIW393319:KIW393323 KSS393319:KSS393323 LCO393319:LCO393323 LMK393319:LMK393323 LWG393319:LWG393323 MGC393319:MGC393323 MPY393319:MPY393323 MZU393319:MZU393323 NJQ393319:NJQ393323 NTM393319:NTM393323 ODI393319:ODI393323 ONE393319:ONE393323 OXA393319:OXA393323 PGW393319:PGW393323 PQS393319:PQS393323 QAO393319:QAO393323 QKK393319:QKK393323 QUG393319:QUG393323 REC393319:REC393323 RNY393319:RNY393323 RXU393319:RXU393323 SHQ393319:SHQ393323 SRM393319:SRM393323 TBI393319:TBI393323 TLE393319:TLE393323 TVA393319:TVA393323 UEW393319:UEW393323 UOS393319:UOS393323 UYO393319:UYO393323 VIK393319:VIK393323 VSG393319:VSG393323 WCC393319:WCC393323 WLY393319:WLY393323 WVU393319:WVU393323 M458855:M458859 JI458855:JI458859 TE458855:TE458859 ADA458855:ADA458859 AMW458855:AMW458859 AWS458855:AWS458859 BGO458855:BGO458859 BQK458855:BQK458859 CAG458855:CAG458859 CKC458855:CKC458859 CTY458855:CTY458859 DDU458855:DDU458859 DNQ458855:DNQ458859 DXM458855:DXM458859 EHI458855:EHI458859 ERE458855:ERE458859 FBA458855:FBA458859 FKW458855:FKW458859 FUS458855:FUS458859 GEO458855:GEO458859 GOK458855:GOK458859 GYG458855:GYG458859 HIC458855:HIC458859 HRY458855:HRY458859 IBU458855:IBU458859 ILQ458855:ILQ458859 IVM458855:IVM458859 JFI458855:JFI458859 JPE458855:JPE458859 JZA458855:JZA458859 KIW458855:KIW458859 KSS458855:KSS458859 LCO458855:LCO458859 LMK458855:LMK458859 LWG458855:LWG458859 MGC458855:MGC458859 MPY458855:MPY458859 MZU458855:MZU458859 NJQ458855:NJQ458859 NTM458855:NTM458859 ODI458855:ODI458859 ONE458855:ONE458859 OXA458855:OXA458859 PGW458855:PGW458859 PQS458855:PQS458859 QAO458855:QAO458859 QKK458855:QKK458859 QUG458855:QUG458859 REC458855:REC458859 RNY458855:RNY458859 RXU458855:RXU458859 SHQ458855:SHQ458859 SRM458855:SRM458859 TBI458855:TBI458859 TLE458855:TLE458859 TVA458855:TVA458859 UEW458855:UEW458859 UOS458855:UOS458859 UYO458855:UYO458859 VIK458855:VIK458859 VSG458855:VSG458859 WCC458855:WCC458859 WLY458855:WLY458859 WVU458855:WVU458859 M524391:M524395 JI524391:JI524395 TE524391:TE524395 ADA524391:ADA524395 AMW524391:AMW524395 AWS524391:AWS524395 BGO524391:BGO524395 BQK524391:BQK524395 CAG524391:CAG524395 CKC524391:CKC524395 CTY524391:CTY524395 DDU524391:DDU524395 DNQ524391:DNQ524395 DXM524391:DXM524395 EHI524391:EHI524395 ERE524391:ERE524395 FBA524391:FBA524395 FKW524391:FKW524395 FUS524391:FUS524395 GEO524391:GEO524395 GOK524391:GOK524395 GYG524391:GYG524395 HIC524391:HIC524395 HRY524391:HRY524395 IBU524391:IBU524395 ILQ524391:ILQ524395 IVM524391:IVM524395 JFI524391:JFI524395 JPE524391:JPE524395 JZA524391:JZA524395 KIW524391:KIW524395 KSS524391:KSS524395 LCO524391:LCO524395 LMK524391:LMK524395 LWG524391:LWG524395 MGC524391:MGC524395 MPY524391:MPY524395 MZU524391:MZU524395 NJQ524391:NJQ524395 NTM524391:NTM524395 ODI524391:ODI524395 ONE524391:ONE524395 OXA524391:OXA524395 PGW524391:PGW524395 PQS524391:PQS524395 QAO524391:QAO524395 QKK524391:QKK524395 QUG524391:QUG524395 REC524391:REC524395 RNY524391:RNY524395 RXU524391:RXU524395 SHQ524391:SHQ524395 SRM524391:SRM524395 TBI524391:TBI524395 TLE524391:TLE524395 TVA524391:TVA524395 UEW524391:UEW524395 UOS524391:UOS524395 UYO524391:UYO524395 VIK524391:VIK524395 VSG524391:VSG524395 WCC524391:WCC524395 WLY524391:WLY524395 WVU524391:WVU524395 M589927:M589931 JI589927:JI589931 TE589927:TE589931 ADA589927:ADA589931 AMW589927:AMW589931 AWS589927:AWS589931 BGO589927:BGO589931 BQK589927:BQK589931 CAG589927:CAG589931 CKC589927:CKC589931 CTY589927:CTY589931 DDU589927:DDU589931 DNQ589927:DNQ589931 DXM589927:DXM589931 EHI589927:EHI589931 ERE589927:ERE589931 FBA589927:FBA589931 FKW589927:FKW589931 FUS589927:FUS589931 GEO589927:GEO589931 GOK589927:GOK589931 GYG589927:GYG589931 HIC589927:HIC589931 HRY589927:HRY589931 IBU589927:IBU589931 ILQ589927:ILQ589931 IVM589927:IVM589931 JFI589927:JFI589931 JPE589927:JPE589931 JZA589927:JZA589931 KIW589927:KIW589931 KSS589927:KSS589931 LCO589927:LCO589931 LMK589927:LMK589931 LWG589927:LWG589931 MGC589927:MGC589931 MPY589927:MPY589931 MZU589927:MZU589931 NJQ589927:NJQ589931 NTM589927:NTM589931 ODI589927:ODI589931 ONE589927:ONE589931 OXA589927:OXA589931 PGW589927:PGW589931 PQS589927:PQS589931 QAO589927:QAO589931 QKK589927:QKK589931 QUG589927:QUG589931 REC589927:REC589931 RNY589927:RNY589931 RXU589927:RXU589931 SHQ589927:SHQ589931 SRM589927:SRM589931 TBI589927:TBI589931 TLE589927:TLE589931 TVA589927:TVA589931 UEW589927:UEW589931 UOS589927:UOS589931 UYO589927:UYO589931 VIK589927:VIK589931 VSG589927:VSG589931 WCC589927:WCC589931 WLY589927:WLY589931 WVU589927:WVU589931 M655463:M655467 JI655463:JI655467 TE655463:TE655467 ADA655463:ADA655467 AMW655463:AMW655467 AWS655463:AWS655467 BGO655463:BGO655467 BQK655463:BQK655467 CAG655463:CAG655467 CKC655463:CKC655467 CTY655463:CTY655467 DDU655463:DDU655467 DNQ655463:DNQ655467 DXM655463:DXM655467 EHI655463:EHI655467 ERE655463:ERE655467 FBA655463:FBA655467 FKW655463:FKW655467 FUS655463:FUS655467 GEO655463:GEO655467 GOK655463:GOK655467 GYG655463:GYG655467 HIC655463:HIC655467 HRY655463:HRY655467 IBU655463:IBU655467 ILQ655463:ILQ655467 IVM655463:IVM655467 JFI655463:JFI655467 JPE655463:JPE655467 JZA655463:JZA655467 KIW655463:KIW655467 KSS655463:KSS655467 LCO655463:LCO655467 LMK655463:LMK655467 LWG655463:LWG655467 MGC655463:MGC655467 MPY655463:MPY655467 MZU655463:MZU655467 NJQ655463:NJQ655467 NTM655463:NTM655467 ODI655463:ODI655467 ONE655463:ONE655467 OXA655463:OXA655467 PGW655463:PGW655467 PQS655463:PQS655467 QAO655463:QAO655467 QKK655463:QKK655467 QUG655463:QUG655467 REC655463:REC655467 RNY655463:RNY655467 RXU655463:RXU655467 SHQ655463:SHQ655467 SRM655463:SRM655467 TBI655463:TBI655467 TLE655463:TLE655467 TVA655463:TVA655467 UEW655463:UEW655467 UOS655463:UOS655467 UYO655463:UYO655467 VIK655463:VIK655467 VSG655463:VSG655467 WCC655463:WCC655467 WLY655463:WLY655467 WVU655463:WVU655467 M720999:M721003 JI720999:JI721003 TE720999:TE721003 ADA720999:ADA721003 AMW720999:AMW721003 AWS720999:AWS721003 BGO720999:BGO721003 BQK720999:BQK721003 CAG720999:CAG721003 CKC720999:CKC721003 CTY720999:CTY721003 DDU720999:DDU721003 DNQ720999:DNQ721003 DXM720999:DXM721003 EHI720999:EHI721003 ERE720999:ERE721003 FBA720999:FBA721003 FKW720999:FKW721003 FUS720999:FUS721003 GEO720999:GEO721003 GOK720999:GOK721003 GYG720999:GYG721003 HIC720999:HIC721003 HRY720999:HRY721003 IBU720999:IBU721003 ILQ720999:ILQ721003 IVM720999:IVM721003 JFI720999:JFI721003 JPE720999:JPE721003 JZA720999:JZA721003 KIW720999:KIW721003 KSS720999:KSS721003 LCO720999:LCO721003 LMK720999:LMK721003 LWG720999:LWG721003 MGC720999:MGC721003 MPY720999:MPY721003 MZU720999:MZU721003 NJQ720999:NJQ721003 NTM720999:NTM721003 ODI720999:ODI721003 ONE720999:ONE721003 OXA720999:OXA721003 PGW720999:PGW721003 PQS720999:PQS721003 QAO720999:QAO721003 QKK720999:QKK721003 QUG720999:QUG721003 REC720999:REC721003 RNY720999:RNY721003 RXU720999:RXU721003 SHQ720999:SHQ721003 SRM720999:SRM721003 TBI720999:TBI721003 TLE720999:TLE721003 TVA720999:TVA721003 UEW720999:UEW721003 UOS720999:UOS721003 UYO720999:UYO721003 VIK720999:VIK721003 VSG720999:VSG721003 WCC720999:WCC721003 WLY720999:WLY721003 WVU720999:WVU721003 M786535:M786539 JI786535:JI786539 TE786535:TE786539 ADA786535:ADA786539 AMW786535:AMW786539 AWS786535:AWS786539 BGO786535:BGO786539 BQK786535:BQK786539 CAG786535:CAG786539 CKC786535:CKC786539 CTY786535:CTY786539 DDU786535:DDU786539 DNQ786535:DNQ786539 DXM786535:DXM786539 EHI786535:EHI786539 ERE786535:ERE786539 FBA786535:FBA786539 FKW786535:FKW786539 FUS786535:FUS786539 GEO786535:GEO786539 GOK786535:GOK786539 GYG786535:GYG786539 HIC786535:HIC786539 HRY786535:HRY786539 IBU786535:IBU786539 ILQ786535:ILQ786539 IVM786535:IVM786539 JFI786535:JFI786539 JPE786535:JPE786539 JZA786535:JZA786539 KIW786535:KIW786539 KSS786535:KSS786539 LCO786535:LCO786539 LMK786535:LMK786539 LWG786535:LWG786539 MGC786535:MGC786539 MPY786535:MPY786539 MZU786535:MZU786539 NJQ786535:NJQ786539 NTM786535:NTM786539 ODI786535:ODI786539 ONE786535:ONE786539 OXA786535:OXA786539 PGW786535:PGW786539 PQS786535:PQS786539 QAO786535:QAO786539 QKK786535:QKK786539 QUG786535:QUG786539 REC786535:REC786539 RNY786535:RNY786539 RXU786535:RXU786539 SHQ786535:SHQ786539 SRM786535:SRM786539 TBI786535:TBI786539 TLE786535:TLE786539 TVA786535:TVA786539 UEW786535:UEW786539 UOS786535:UOS786539 UYO786535:UYO786539 VIK786535:VIK786539 VSG786535:VSG786539 WCC786535:WCC786539 WLY786535:WLY786539 WVU786535:WVU786539 M852071:M852075 JI852071:JI852075 TE852071:TE852075 ADA852071:ADA852075 AMW852071:AMW852075 AWS852071:AWS852075 BGO852071:BGO852075 BQK852071:BQK852075 CAG852071:CAG852075 CKC852071:CKC852075 CTY852071:CTY852075 DDU852071:DDU852075 DNQ852071:DNQ852075 DXM852071:DXM852075 EHI852071:EHI852075 ERE852071:ERE852075 FBA852071:FBA852075 FKW852071:FKW852075 FUS852071:FUS852075 GEO852071:GEO852075 GOK852071:GOK852075 GYG852071:GYG852075 HIC852071:HIC852075 HRY852071:HRY852075 IBU852071:IBU852075 ILQ852071:ILQ852075 IVM852071:IVM852075 JFI852071:JFI852075 JPE852071:JPE852075 JZA852071:JZA852075 KIW852071:KIW852075 KSS852071:KSS852075 LCO852071:LCO852075 LMK852071:LMK852075 LWG852071:LWG852075 MGC852071:MGC852075 MPY852071:MPY852075 MZU852071:MZU852075 NJQ852071:NJQ852075 NTM852071:NTM852075 ODI852071:ODI852075 ONE852071:ONE852075 OXA852071:OXA852075 PGW852071:PGW852075 PQS852071:PQS852075 QAO852071:QAO852075 QKK852071:QKK852075 QUG852071:QUG852075 REC852071:REC852075 RNY852071:RNY852075 RXU852071:RXU852075 SHQ852071:SHQ852075 SRM852071:SRM852075 TBI852071:TBI852075 TLE852071:TLE852075 TVA852071:TVA852075 UEW852071:UEW852075 UOS852071:UOS852075 UYO852071:UYO852075 VIK852071:VIK852075 VSG852071:VSG852075 WCC852071:WCC852075 WLY852071:WLY852075 WVU852071:WVU852075 M917607:M917611 JI917607:JI917611 TE917607:TE917611 ADA917607:ADA917611 AMW917607:AMW917611 AWS917607:AWS917611 BGO917607:BGO917611 BQK917607:BQK917611 CAG917607:CAG917611 CKC917607:CKC917611 CTY917607:CTY917611 DDU917607:DDU917611 DNQ917607:DNQ917611 DXM917607:DXM917611 EHI917607:EHI917611 ERE917607:ERE917611 FBA917607:FBA917611 FKW917607:FKW917611 FUS917607:FUS917611 GEO917607:GEO917611 GOK917607:GOK917611 GYG917607:GYG917611 HIC917607:HIC917611 HRY917607:HRY917611 IBU917607:IBU917611 ILQ917607:ILQ917611 IVM917607:IVM917611 JFI917607:JFI917611 JPE917607:JPE917611 JZA917607:JZA917611 KIW917607:KIW917611 KSS917607:KSS917611 LCO917607:LCO917611 LMK917607:LMK917611 LWG917607:LWG917611 MGC917607:MGC917611 MPY917607:MPY917611 MZU917607:MZU917611 NJQ917607:NJQ917611 NTM917607:NTM917611 ODI917607:ODI917611 ONE917607:ONE917611 OXA917607:OXA917611 PGW917607:PGW917611 PQS917607:PQS917611 QAO917607:QAO917611 QKK917607:QKK917611 QUG917607:QUG917611 REC917607:REC917611 RNY917607:RNY917611 RXU917607:RXU917611 SHQ917607:SHQ917611 SRM917607:SRM917611 TBI917607:TBI917611 TLE917607:TLE917611 TVA917607:TVA917611 UEW917607:UEW917611 UOS917607:UOS917611 UYO917607:UYO917611 VIK917607:VIK917611 VSG917607:VSG917611 WCC917607:WCC917611 WLY917607:WLY917611 WVU917607:WVU917611 M983143:M983147 JI983143:JI983147 TE983143:TE983147 ADA983143:ADA983147 AMW983143:AMW983147 AWS983143:AWS983147 BGO983143:BGO983147 BQK983143:BQK983147 CAG983143:CAG983147 CKC983143:CKC983147 CTY983143:CTY983147 DDU983143:DDU983147 DNQ983143:DNQ983147 DXM983143:DXM983147 EHI983143:EHI983147 ERE983143:ERE983147 FBA983143:FBA983147 FKW983143:FKW983147 FUS983143:FUS983147 GEO983143:GEO983147 GOK983143:GOK983147 GYG983143:GYG983147 HIC983143:HIC983147 HRY983143:HRY983147 IBU983143:IBU983147 ILQ983143:ILQ983147 IVM983143:IVM983147 JFI983143:JFI983147 JPE983143:JPE983147 JZA983143:JZA983147 KIW983143:KIW983147 KSS983143:KSS983147 LCO983143:LCO983147 LMK983143:LMK983147 LWG983143:LWG983147 MGC983143:MGC983147 MPY983143:MPY983147 MZU983143:MZU983147 NJQ983143:NJQ983147 NTM983143:NTM983147 ODI983143:ODI983147 ONE983143:ONE983147 OXA983143:OXA983147 PGW983143:PGW983147 PQS983143:PQS983147 QAO983143:QAO983147 QKK983143:QKK983147 QUG983143:QUG983147 REC983143:REC983147 RNY983143:RNY983147 RXU983143:RXU983147 SHQ983143:SHQ983147 SRM983143:SRM983147 TBI983143:TBI983147 TLE983143:TLE983147 TVA983143:TVA983147 UEW983143:UEW983147 UOS983143:UOS983147 UYO983143:UYO983147 VIK983143:VIK983147 VSG983143:VSG983147 WCC983143:WCC983147 WLY983143:WLY983147 WVU983143:WVU983147 TO105:TO107 R65640:R65643 JN65640:JN65643 TJ65640:TJ65643 ADF65640:ADF65643 ANB65640:ANB65643 AWX65640:AWX65643 BGT65640:BGT65643 BQP65640:BQP65643 CAL65640:CAL65643 CKH65640:CKH65643 CUD65640:CUD65643 DDZ65640:DDZ65643 DNV65640:DNV65643 DXR65640:DXR65643 EHN65640:EHN65643 ERJ65640:ERJ65643 FBF65640:FBF65643 FLB65640:FLB65643 FUX65640:FUX65643 GET65640:GET65643 GOP65640:GOP65643 GYL65640:GYL65643 HIH65640:HIH65643 HSD65640:HSD65643 IBZ65640:IBZ65643 ILV65640:ILV65643 IVR65640:IVR65643 JFN65640:JFN65643 JPJ65640:JPJ65643 JZF65640:JZF65643 KJB65640:KJB65643 KSX65640:KSX65643 LCT65640:LCT65643 LMP65640:LMP65643 LWL65640:LWL65643 MGH65640:MGH65643 MQD65640:MQD65643 MZZ65640:MZZ65643 NJV65640:NJV65643 NTR65640:NTR65643 ODN65640:ODN65643 ONJ65640:ONJ65643 OXF65640:OXF65643 PHB65640:PHB65643 PQX65640:PQX65643 QAT65640:QAT65643 QKP65640:QKP65643 QUL65640:QUL65643 REH65640:REH65643 ROD65640:ROD65643 RXZ65640:RXZ65643 SHV65640:SHV65643 SRR65640:SRR65643 TBN65640:TBN65643 TLJ65640:TLJ65643 TVF65640:TVF65643 UFB65640:UFB65643 UOX65640:UOX65643 UYT65640:UYT65643 VIP65640:VIP65643 VSL65640:VSL65643 WCH65640:WCH65643 WMD65640:WMD65643 WVZ65640:WVZ65643 R131176:R131179 JN131176:JN131179 TJ131176:TJ131179 ADF131176:ADF131179 ANB131176:ANB131179 AWX131176:AWX131179 BGT131176:BGT131179 BQP131176:BQP131179 CAL131176:CAL131179 CKH131176:CKH131179 CUD131176:CUD131179 DDZ131176:DDZ131179 DNV131176:DNV131179 DXR131176:DXR131179 EHN131176:EHN131179 ERJ131176:ERJ131179 FBF131176:FBF131179 FLB131176:FLB131179 FUX131176:FUX131179 GET131176:GET131179 GOP131176:GOP131179 GYL131176:GYL131179 HIH131176:HIH131179 HSD131176:HSD131179 IBZ131176:IBZ131179 ILV131176:ILV131179 IVR131176:IVR131179 JFN131176:JFN131179 JPJ131176:JPJ131179 JZF131176:JZF131179 KJB131176:KJB131179 KSX131176:KSX131179 LCT131176:LCT131179 LMP131176:LMP131179 LWL131176:LWL131179 MGH131176:MGH131179 MQD131176:MQD131179 MZZ131176:MZZ131179 NJV131176:NJV131179 NTR131176:NTR131179 ODN131176:ODN131179 ONJ131176:ONJ131179 OXF131176:OXF131179 PHB131176:PHB131179 PQX131176:PQX131179 QAT131176:QAT131179 QKP131176:QKP131179 QUL131176:QUL131179 REH131176:REH131179 ROD131176:ROD131179 RXZ131176:RXZ131179 SHV131176:SHV131179 SRR131176:SRR131179 TBN131176:TBN131179 TLJ131176:TLJ131179 TVF131176:TVF131179 UFB131176:UFB131179 UOX131176:UOX131179 UYT131176:UYT131179 VIP131176:VIP131179 VSL131176:VSL131179 WCH131176:WCH131179 WMD131176:WMD131179 WVZ131176:WVZ131179 R196712:R196715 JN196712:JN196715 TJ196712:TJ196715 ADF196712:ADF196715 ANB196712:ANB196715 AWX196712:AWX196715 BGT196712:BGT196715 BQP196712:BQP196715 CAL196712:CAL196715 CKH196712:CKH196715 CUD196712:CUD196715 DDZ196712:DDZ196715 DNV196712:DNV196715 DXR196712:DXR196715 EHN196712:EHN196715 ERJ196712:ERJ196715 FBF196712:FBF196715 FLB196712:FLB196715 FUX196712:FUX196715 GET196712:GET196715 GOP196712:GOP196715 GYL196712:GYL196715 HIH196712:HIH196715 HSD196712:HSD196715 IBZ196712:IBZ196715 ILV196712:ILV196715 IVR196712:IVR196715 JFN196712:JFN196715 JPJ196712:JPJ196715 JZF196712:JZF196715 KJB196712:KJB196715 KSX196712:KSX196715 LCT196712:LCT196715 LMP196712:LMP196715 LWL196712:LWL196715 MGH196712:MGH196715 MQD196712:MQD196715 MZZ196712:MZZ196715 NJV196712:NJV196715 NTR196712:NTR196715 ODN196712:ODN196715 ONJ196712:ONJ196715 OXF196712:OXF196715 PHB196712:PHB196715 PQX196712:PQX196715 QAT196712:QAT196715 QKP196712:QKP196715 QUL196712:QUL196715 REH196712:REH196715 ROD196712:ROD196715 RXZ196712:RXZ196715 SHV196712:SHV196715 SRR196712:SRR196715 TBN196712:TBN196715 TLJ196712:TLJ196715 TVF196712:TVF196715 UFB196712:UFB196715 UOX196712:UOX196715 UYT196712:UYT196715 VIP196712:VIP196715 VSL196712:VSL196715 WCH196712:WCH196715 WMD196712:WMD196715 WVZ196712:WVZ196715 R262248:R262251 JN262248:JN262251 TJ262248:TJ262251 ADF262248:ADF262251 ANB262248:ANB262251 AWX262248:AWX262251 BGT262248:BGT262251 BQP262248:BQP262251 CAL262248:CAL262251 CKH262248:CKH262251 CUD262248:CUD262251 DDZ262248:DDZ262251 DNV262248:DNV262251 DXR262248:DXR262251 EHN262248:EHN262251 ERJ262248:ERJ262251 FBF262248:FBF262251 FLB262248:FLB262251 FUX262248:FUX262251 GET262248:GET262251 GOP262248:GOP262251 GYL262248:GYL262251 HIH262248:HIH262251 HSD262248:HSD262251 IBZ262248:IBZ262251 ILV262248:ILV262251 IVR262248:IVR262251 JFN262248:JFN262251 JPJ262248:JPJ262251 JZF262248:JZF262251 KJB262248:KJB262251 KSX262248:KSX262251 LCT262248:LCT262251 LMP262248:LMP262251 LWL262248:LWL262251 MGH262248:MGH262251 MQD262248:MQD262251 MZZ262248:MZZ262251 NJV262248:NJV262251 NTR262248:NTR262251 ODN262248:ODN262251 ONJ262248:ONJ262251 OXF262248:OXF262251 PHB262248:PHB262251 PQX262248:PQX262251 QAT262248:QAT262251 QKP262248:QKP262251 QUL262248:QUL262251 REH262248:REH262251 ROD262248:ROD262251 RXZ262248:RXZ262251 SHV262248:SHV262251 SRR262248:SRR262251 TBN262248:TBN262251 TLJ262248:TLJ262251 TVF262248:TVF262251 UFB262248:UFB262251 UOX262248:UOX262251 UYT262248:UYT262251 VIP262248:VIP262251 VSL262248:VSL262251 WCH262248:WCH262251 WMD262248:WMD262251 WVZ262248:WVZ262251 R327784:R327787 JN327784:JN327787 TJ327784:TJ327787 ADF327784:ADF327787 ANB327784:ANB327787 AWX327784:AWX327787 BGT327784:BGT327787 BQP327784:BQP327787 CAL327784:CAL327787 CKH327784:CKH327787 CUD327784:CUD327787 DDZ327784:DDZ327787 DNV327784:DNV327787 DXR327784:DXR327787 EHN327784:EHN327787 ERJ327784:ERJ327787 FBF327784:FBF327787 FLB327784:FLB327787 FUX327784:FUX327787 GET327784:GET327787 GOP327784:GOP327787 GYL327784:GYL327787 HIH327784:HIH327787 HSD327784:HSD327787 IBZ327784:IBZ327787 ILV327784:ILV327787 IVR327784:IVR327787 JFN327784:JFN327787 JPJ327784:JPJ327787 JZF327784:JZF327787 KJB327784:KJB327787 KSX327784:KSX327787 LCT327784:LCT327787 LMP327784:LMP327787 LWL327784:LWL327787 MGH327784:MGH327787 MQD327784:MQD327787 MZZ327784:MZZ327787 NJV327784:NJV327787 NTR327784:NTR327787 ODN327784:ODN327787 ONJ327784:ONJ327787 OXF327784:OXF327787 PHB327784:PHB327787 PQX327784:PQX327787 QAT327784:QAT327787 QKP327784:QKP327787 QUL327784:QUL327787 REH327784:REH327787 ROD327784:ROD327787 RXZ327784:RXZ327787 SHV327784:SHV327787 SRR327784:SRR327787 TBN327784:TBN327787 TLJ327784:TLJ327787 TVF327784:TVF327787 UFB327784:UFB327787 UOX327784:UOX327787 UYT327784:UYT327787 VIP327784:VIP327787 VSL327784:VSL327787 WCH327784:WCH327787 WMD327784:WMD327787 WVZ327784:WVZ327787 R393320:R393323 JN393320:JN393323 TJ393320:TJ393323 ADF393320:ADF393323 ANB393320:ANB393323 AWX393320:AWX393323 BGT393320:BGT393323 BQP393320:BQP393323 CAL393320:CAL393323 CKH393320:CKH393323 CUD393320:CUD393323 DDZ393320:DDZ393323 DNV393320:DNV393323 DXR393320:DXR393323 EHN393320:EHN393323 ERJ393320:ERJ393323 FBF393320:FBF393323 FLB393320:FLB393323 FUX393320:FUX393323 GET393320:GET393323 GOP393320:GOP393323 GYL393320:GYL393323 HIH393320:HIH393323 HSD393320:HSD393323 IBZ393320:IBZ393323 ILV393320:ILV393323 IVR393320:IVR393323 JFN393320:JFN393323 JPJ393320:JPJ393323 JZF393320:JZF393323 KJB393320:KJB393323 KSX393320:KSX393323 LCT393320:LCT393323 LMP393320:LMP393323 LWL393320:LWL393323 MGH393320:MGH393323 MQD393320:MQD393323 MZZ393320:MZZ393323 NJV393320:NJV393323 NTR393320:NTR393323 ODN393320:ODN393323 ONJ393320:ONJ393323 OXF393320:OXF393323 PHB393320:PHB393323 PQX393320:PQX393323 QAT393320:QAT393323 QKP393320:QKP393323 QUL393320:QUL393323 REH393320:REH393323 ROD393320:ROD393323 RXZ393320:RXZ393323 SHV393320:SHV393323 SRR393320:SRR393323 TBN393320:TBN393323 TLJ393320:TLJ393323 TVF393320:TVF393323 UFB393320:UFB393323 UOX393320:UOX393323 UYT393320:UYT393323 VIP393320:VIP393323 VSL393320:VSL393323 WCH393320:WCH393323 WMD393320:WMD393323 WVZ393320:WVZ393323 R458856:R458859 JN458856:JN458859 TJ458856:TJ458859 ADF458856:ADF458859 ANB458856:ANB458859 AWX458856:AWX458859 BGT458856:BGT458859 BQP458856:BQP458859 CAL458856:CAL458859 CKH458856:CKH458859 CUD458856:CUD458859 DDZ458856:DDZ458859 DNV458856:DNV458859 DXR458856:DXR458859 EHN458856:EHN458859 ERJ458856:ERJ458859 FBF458856:FBF458859 FLB458856:FLB458859 FUX458856:FUX458859 GET458856:GET458859 GOP458856:GOP458859 GYL458856:GYL458859 HIH458856:HIH458859 HSD458856:HSD458859 IBZ458856:IBZ458859 ILV458856:ILV458859 IVR458856:IVR458859 JFN458856:JFN458859 JPJ458856:JPJ458859 JZF458856:JZF458859 KJB458856:KJB458859 KSX458856:KSX458859 LCT458856:LCT458859 LMP458856:LMP458859 LWL458856:LWL458859 MGH458856:MGH458859 MQD458856:MQD458859 MZZ458856:MZZ458859 NJV458856:NJV458859 NTR458856:NTR458859 ODN458856:ODN458859 ONJ458856:ONJ458859 OXF458856:OXF458859 PHB458856:PHB458859 PQX458856:PQX458859 QAT458856:QAT458859 QKP458856:QKP458859 QUL458856:QUL458859 REH458856:REH458859 ROD458856:ROD458859 RXZ458856:RXZ458859 SHV458856:SHV458859 SRR458856:SRR458859 TBN458856:TBN458859 TLJ458856:TLJ458859 TVF458856:TVF458859 UFB458856:UFB458859 UOX458856:UOX458859 UYT458856:UYT458859 VIP458856:VIP458859 VSL458856:VSL458859 WCH458856:WCH458859 WMD458856:WMD458859 WVZ458856:WVZ458859 R524392:R524395 JN524392:JN524395 TJ524392:TJ524395 ADF524392:ADF524395 ANB524392:ANB524395 AWX524392:AWX524395 BGT524392:BGT524395 BQP524392:BQP524395 CAL524392:CAL524395 CKH524392:CKH524395 CUD524392:CUD524395 DDZ524392:DDZ524395 DNV524392:DNV524395 DXR524392:DXR524395 EHN524392:EHN524395 ERJ524392:ERJ524395 FBF524392:FBF524395 FLB524392:FLB524395 FUX524392:FUX524395 GET524392:GET524395 GOP524392:GOP524395 GYL524392:GYL524395 HIH524392:HIH524395 HSD524392:HSD524395 IBZ524392:IBZ524395 ILV524392:ILV524395 IVR524392:IVR524395 JFN524392:JFN524395 JPJ524392:JPJ524395 JZF524392:JZF524395 KJB524392:KJB524395 KSX524392:KSX524395 LCT524392:LCT524395 LMP524392:LMP524395 LWL524392:LWL524395 MGH524392:MGH524395 MQD524392:MQD524395 MZZ524392:MZZ524395 NJV524392:NJV524395 NTR524392:NTR524395 ODN524392:ODN524395 ONJ524392:ONJ524395 OXF524392:OXF524395 PHB524392:PHB524395 PQX524392:PQX524395 QAT524392:QAT524395 QKP524392:QKP524395 QUL524392:QUL524395 REH524392:REH524395 ROD524392:ROD524395 RXZ524392:RXZ524395 SHV524392:SHV524395 SRR524392:SRR524395 TBN524392:TBN524395 TLJ524392:TLJ524395 TVF524392:TVF524395 UFB524392:UFB524395 UOX524392:UOX524395 UYT524392:UYT524395 VIP524392:VIP524395 VSL524392:VSL524395 WCH524392:WCH524395 WMD524392:WMD524395 WVZ524392:WVZ524395 R589928:R589931 JN589928:JN589931 TJ589928:TJ589931 ADF589928:ADF589931 ANB589928:ANB589931 AWX589928:AWX589931 BGT589928:BGT589931 BQP589928:BQP589931 CAL589928:CAL589931 CKH589928:CKH589931 CUD589928:CUD589931 DDZ589928:DDZ589931 DNV589928:DNV589931 DXR589928:DXR589931 EHN589928:EHN589931 ERJ589928:ERJ589931 FBF589928:FBF589931 FLB589928:FLB589931 FUX589928:FUX589931 GET589928:GET589931 GOP589928:GOP589931 GYL589928:GYL589931 HIH589928:HIH589931 HSD589928:HSD589931 IBZ589928:IBZ589931 ILV589928:ILV589931 IVR589928:IVR589931 JFN589928:JFN589931 JPJ589928:JPJ589931 JZF589928:JZF589931 KJB589928:KJB589931 KSX589928:KSX589931 LCT589928:LCT589931 LMP589928:LMP589931 LWL589928:LWL589931 MGH589928:MGH589931 MQD589928:MQD589931 MZZ589928:MZZ589931 NJV589928:NJV589931 NTR589928:NTR589931 ODN589928:ODN589931 ONJ589928:ONJ589931 OXF589928:OXF589931 PHB589928:PHB589931 PQX589928:PQX589931 QAT589928:QAT589931 QKP589928:QKP589931 QUL589928:QUL589931 REH589928:REH589931 ROD589928:ROD589931 RXZ589928:RXZ589931 SHV589928:SHV589931 SRR589928:SRR589931 TBN589928:TBN589931 TLJ589928:TLJ589931 TVF589928:TVF589931 UFB589928:UFB589931 UOX589928:UOX589931 UYT589928:UYT589931 VIP589928:VIP589931 VSL589928:VSL589931 WCH589928:WCH589931 WMD589928:WMD589931 WVZ589928:WVZ589931 R655464:R655467 JN655464:JN655467 TJ655464:TJ655467 ADF655464:ADF655467 ANB655464:ANB655467 AWX655464:AWX655467 BGT655464:BGT655467 BQP655464:BQP655467 CAL655464:CAL655467 CKH655464:CKH655467 CUD655464:CUD655467 DDZ655464:DDZ655467 DNV655464:DNV655467 DXR655464:DXR655467 EHN655464:EHN655467 ERJ655464:ERJ655467 FBF655464:FBF655467 FLB655464:FLB655467 FUX655464:FUX655467 GET655464:GET655467 GOP655464:GOP655467 GYL655464:GYL655467 HIH655464:HIH655467 HSD655464:HSD655467 IBZ655464:IBZ655467 ILV655464:ILV655467 IVR655464:IVR655467 JFN655464:JFN655467 JPJ655464:JPJ655467 JZF655464:JZF655467 KJB655464:KJB655467 KSX655464:KSX655467 LCT655464:LCT655467 LMP655464:LMP655467 LWL655464:LWL655467 MGH655464:MGH655467 MQD655464:MQD655467 MZZ655464:MZZ655467 NJV655464:NJV655467 NTR655464:NTR655467 ODN655464:ODN655467 ONJ655464:ONJ655467 OXF655464:OXF655467 PHB655464:PHB655467 PQX655464:PQX655467 QAT655464:QAT655467 QKP655464:QKP655467 QUL655464:QUL655467 REH655464:REH655467 ROD655464:ROD655467 RXZ655464:RXZ655467 SHV655464:SHV655467 SRR655464:SRR655467 TBN655464:TBN655467 TLJ655464:TLJ655467 TVF655464:TVF655467 UFB655464:UFB655467 UOX655464:UOX655467 UYT655464:UYT655467 VIP655464:VIP655467 VSL655464:VSL655467 WCH655464:WCH655467 WMD655464:WMD655467 WVZ655464:WVZ655467 R721000:R721003 JN721000:JN721003 TJ721000:TJ721003 ADF721000:ADF721003 ANB721000:ANB721003 AWX721000:AWX721003 BGT721000:BGT721003 BQP721000:BQP721003 CAL721000:CAL721003 CKH721000:CKH721003 CUD721000:CUD721003 DDZ721000:DDZ721003 DNV721000:DNV721003 DXR721000:DXR721003 EHN721000:EHN721003 ERJ721000:ERJ721003 FBF721000:FBF721003 FLB721000:FLB721003 FUX721000:FUX721003 GET721000:GET721003 GOP721000:GOP721003 GYL721000:GYL721003 HIH721000:HIH721003 HSD721000:HSD721003 IBZ721000:IBZ721003 ILV721000:ILV721003 IVR721000:IVR721003 JFN721000:JFN721003 JPJ721000:JPJ721003 JZF721000:JZF721003 KJB721000:KJB721003 KSX721000:KSX721003 LCT721000:LCT721003 LMP721000:LMP721003 LWL721000:LWL721003 MGH721000:MGH721003 MQD721000:MQD721003 MZZ721000:MZZ721003 NJV721000:NJV721003 NTR721000:NTR721003 ODN721000:ODN721003 ONJ721000:ONJ721003 OXF721000:OXF721003 PHB721000:PHB721003 PQX721000:PQX721003 QAT721000:QAT721003 QKP721000:QKP721003 QUL721000:QUL721003 REH721000:REH721003 ROD721000:ROD721003 RXZ721000:RXZ721003 SHV721000:SHV721003 SRR721000:SRR721003 TBN721000:TBN721003 TLJ721000:TLJ721003 TVF721000:TVF721003 UFB721000:UFB721003 UOX721000:UOX721003 UYT721000:UYT721003 VIP721000:VIP721003 VSL721000:VSL721003 WCH721000:WCH721003 WMD721000:WMD721003 WVZ721000:WVZ721003 R786536:R786539 JN786536:JN786539 TJ786536:TJ786539 ADF786536:ADF786539 ANB786536:ANB786539 AWX786536:AWX786539 BGT786536:BGT786539 BQP786536:BQP786539 CAL786536:CAL786539 CKH786536:CKH786539 CUD786536:CUD786539 DDZ786536:DDZ786539 DNV786536:DNV786539 DXR786536:DXR786539 EHN786536:EHN786539 ERJ786536:ERJ786539 FBF786536:FBF786539 FLB786536:FLB786539 FUX786536:FUX786539 GET786536:GET786539 GOP786536:GOP786539 GYL786536:GYL786539 HIH786536:HIH786539 HSD786536:HSD786539 IBZ786536:IBZ786539 ILV786536:ILV786539 IVR786536:IVR786539 JFN786536:JFN786539 JPJ786536:JPJ786539 JZF786536:JZF786539 KJB786536:KJB786539 KSX786536:KSX786539 LCT786536:LCT786539 LMP786536:LMP786539 LWL786536:LWL786539 MGH786536:MGH786539 MQD786536:MQD786539 MZZ786536:MZZ786539 NJV786536:NJV786539 NTR786536:NTR786539 ODN786536:ODN786539 ONJ786536:ONJ786539 OXF786536:OXF786539 PHB786536:PHB786539 PQX786536:PQX786539 QAT786536:QAT786539 QKP786536:QKP786539 QUL786536:QUL786539 REH786536:REH786539 ROD786536:ROD786539 RXZ786536:RXZ786539 SHV786536:SHV786539 SRR786536:SRR786539 TBN786536:TBN786539 TLJ786536:TLJ786539 TVF786536:TVF786539 UFB786536:UFB786539 UOX786536:UOX786539 UYT786536:UYT786539 VIP786536:VIP786539 VSL786536:VSL786539 WCH786536:WCH786539 WMD786536:WMD786539 WVZ786536:WVZ786539 R852072:R852075 JN852072:JN852075 TJ852072:TJ852075 ADF852072:ADF852075 ANB852072:ANB852075 AWX852072:AWX852075 BGT852072:BGT852075 BQP852072:BQP852075 CAL852072:CAL852075 CKH852072:CKH852075 CUD852072:CUD852075 DDZ852072:DDZ852075 DNV852072:DNV852075 DXR852072:DXR852075 EHN852072:EHN852075 ERJ852072:ERJ852075 FBF852072:FBF852075 FLB852072:FLB852075 FUX852072:FUX852075 GET852072:GET852075 GOP852072:GOP852075 GYL852072:GYL852075 HIH852072:HIH852075 HSD852072:HSD852075 IBZ852072:IBZ852075 ILV852072:ILV852075 IVR852072:IVR852075 JFN852072:JFN852075 JPJ852072:JPJ852075 JZF852072:JZF852075 KJB852072:KJB852075 KSX852072:KSX852075 LCT852072:LCT852075 LMP852072:LMP852075 LWL852072:LWL852075 MGH852072:MGH852075 MQD852072:MQD852075 MZZ852072:MZZ852075 NJV852072:NJV852075 NTR852072:NTR852075 ODN852072:ODN852075 ONJ852072:ONJ852075 OXF852072:OXF852075 PHB852072:PHB852075 PQX852072:PQX852075 QAT852072:QAT852075 QKP852072:QKP852075 QUL852072:QUL852075 REH852072:REH852075 ROD852072:ROD852075 RXZ852072:RXZ852075 SHV852072:SHV852075 SRR852072:SRR852075 TBN852072:TBN852075 TLJ852072:TLJ852075 TVF852072:TVF852075 UFB852072:UFB852075 UOX852072:UOX852075 UYT852072:UYT852075 VIP852072:VIP852075 VSL852072:VSL852075 WCH852072:WCH852075 WMD852072:WMD852075 WVZ852072:WVZ852075 R917608:R917611 JN917608:JN917611 TJ917608:TJ917611 ADF917608:ADF917611 ANB917608:ANB917611 AWX917608:AWX917611 BGT917608:BGT917611 BQP917608:BQP917611 CAL917608:CAL917611 CKH917608:CKH917611 CUD917608:CUD917611 DDZ917608:DDZ917611 DNV917608:DNV917611 DXR917608:DXR917611 EHN917608:EHN917611 ERJ917608:ERJ917611 FBF917608:FBF917611 FLB917608:FLB917611 FUX917608:FUX917611 GET917608:GET917611 GOP917608:GOP917611 GYL917608:GYL917611 HIH917608:HIH917611 HSD917608:HSD917611 IBZ917608:IBZ917611 ILV917608:ILV917611 IVR917608:IVR917611 JFN917608:JFN917611 JPJ917608:JPJ917611 JZF917608:JZF917611 KJB917608:KJB917611 KSX917608:KSX917611 LCT917608:LCT917611 LMP917608:LMP917611 LWL917608:LWL917611 MGH917608:MGH917611 MQD917608:MQD917611 MZZ917608:MZZ917611 NJV917608:NJV917611 NTR917608:NTR917611 ODN917608:ODN917611 ONJ917608:ONJ917611 OXF917608:OXF917611 PHB917608:PHB917611 PQX917608:PQX917611 QAT917608:QAT917611 QKP917608:QKP917611 QUL917608:QUL917611 REH917608:REH917611 ROD917608:ROD917611 RXZ917608:RXZ917611 SHV917608:SHV917611 SRR917608:SRR917611 TBN917608:TBN917611 TLJ917608:TLJ917611 TVF917608:TVF917611 UFB917608:UFB917611 UOX917608:UOX917611 UYT917608:UYT917611 VIP917608:VIP917611 VSL917608:VSL917611 WCH917608:WCH917611 WMD917608:WMD917611 WVZ917608:WVZ917611 R983144:R983147 JN983144:JN983147 TJ983144:TJ983147 ADF983144:ADF983147 ANB983144:ANB983147 AWX983144:AWX983147 BGT983144:BGT983147 BQP983144:BQP983147 CAL983144:CAL983147 CKH983144:CKH983147 CUD983144:CUD983147 DDZ983144:DDZ983147 DNV983144:DNV983147 DXR983144:DXR983147 EHN983144:EHN983147 ERJ983144:ERJ983147 FBF983144:FBF983147 FLB983144:FLB983147 FUX983144:FUX983147 GET983144:GET983147 GOP983144:GOP983147 GYL983144:GYL983147 HIH983144:HIH983147 HSD983144:HSD983147 IBZ983144:IBZ983147 ILV983144:ILV983147 IVR983144:IVR983147 JFN983144:JFN983147 JPJ983144:JPJ983147 JZF983144:JZF983147 KJB983144:KJB983147 KSX983144:KSX983147 LCT983144:LCT983147 LMP983144:LMP983147 LWL983144:LWL983147 MGH983144:MGH983147 MQD983144:MQD983147 MZZ983144:MZZ983147 NJV983144:NJV983147 NTR983144:NTR983147 ODN983144:ODN983147 ONJ983144:ONJ983147 OXF983144:OXF983147 PHB983144:PHB983147 PQX983144:PQX983147 QAT983144:QAT983147 QKP983144:QKP983147 QUL983144:QUL983147 REH983144:REH983147 ROD983144:ROD983147 RXZ983144:RXZ983147 SHV983144:SHV983147 SRR983144:SRR983147 TBN983144:TBN983147 TLJ983144:TLJ983147 TVF983144:TVF983147 UFB983144:UFB983147 UOX983144:UOX983147 UYT983144:UYT983147 VIP983144:VIP983147 VSL983144:VSL983147 WCH983144:WCH983147 WMD983144:WMD983147 WVZ983144:WVZ983147 SHK983143 H65610:H65616 JD65610:JD65616 SZ65610:SZ65616 ACV65610:ACV65616 AMR65610:AMR65616 AWN65610:AWN65616 BGJ65610:BGJ65616 BQF65610:BQF65616 CAB65610:CAB65616 CJX65610:CJX65616 CTT65610:CTT65616 DDP65610:DDP65616 DNL65610:DNL65616 DXH65610:DXH65616 EHD65610:EHD65616 EQZ65610:EQZ65616 FAV65610:FAV65616 FKR65610:FKR65616 FUN65610:FUN65616 GEJ65610:GEJ65616 GOF65610:GOF65616 GYB65610:GYB65616 HHX65610:HHX65616 HRT65610:HRT65616 IBP65610:IBP65616 ILL65610:ILL65616 IVH65610:IVH65616 JFD65610:JFD65616 JOZ65610:JOZ65616 JYV65610:JYV65616 KIR65610:KIR65616 KSN65610:KSN65616 LCJ65610:LCJ65616 LMF65610:LMF65616 LWB65610:LWB65616 MFX65610:MFX65616 MPT65610:MPT65616 MZP65610:MZP65616 NJL65610:NJL65616 NTH65610:NTH65616 ODD65610:ODD65616 OMZ65610:OMZ65616 OWV65610:OWV65616 PGR65610:PGR65616 PQN65610:PQN65616 QAJ65610:QAJ65616 QKF65610:QKF65616 QUB65610:QUB65616 RDX65610:RDX65616 RNT65610:RNT65616 RXP65610:RXP65616 SHL65610:SHL65616 SRH65610:SRH65616 TBD65610:TBD65616 TKZ65610:TKZ65616 TUV65610:TUV65616 UER65610:UER65616 UON65610:UON65616 UYJ65610:UYJ65616 VIF65610:VIF65616 VSB65610:VSB65616 WBX65610:WBX65616 WLT65610:WLT65616 WVP65610:WVP65616 H131146:H131152 JD131146:JD131152 SZ131146:SZ131152 ACV131146:ACV131152 AMR131146:AMR131152 AWN131146:AWN131152 BGJ131146:BGJ131152 BQF131146:BQF131152 CAB131146:CAB131152 CJX131146:CJX131152 CTT131146:CTT131152 DDP131146:DDP131152 DNL131146:DNL131152 DXH131146:DXH131152 EHD131146:EHD131152 EQZ131146:EQZ131152 FAV131146:FAV131152 FKR131146:FKR131152 FUN131146:FUN131152 GEJ131146:GEJ131152 GOF131146:GOF131152 GYB131146:GYB131152 HHX131146:HHX131152 HRT131146:HRT131152 IBP131146:IBP131152 ILL131146:ILL131152 IVH131146:IVH131152 JFD131146:JFD131152 JOZ131146:JOZ131152 JYV131146:JYV131152 KIR131146:KIR131152 KSN131146:KSN131152 LCJ131146:LCJ131152 LMF131146:LMF131152 LWB131146:LWB131152 MFX131146:MFX131152 MPT131146:MPT131152 MZP131146:MZP131152 NJL131146:NJL131152 NTH131146:NTH131152 ODD131146:ODD131152 OMZ131146:OMZ131152 OWV131146:OWV131152 PGR131146:PGR131152 PQN131146:PQN131152 QAJ131146:QAJ131152 QKF131146:QKF131152 QUB131146:QUB131152 RDX131146:RDX131152 RNT131146:RNT131152 RXP131146:RXP131152 SHL131146:SHL131152 SRH131146:SRH131152 TBD131146:TBD131152 TKZ131146:TKZ131152 TUV131146:TUV131152 UER131146:UER131152 UON131146:UON131152 UYJ131146:UYJ131152 VIF131146:VIF131152 VSB131146:VSB131152 WBX131146:WBX131152 WLT131146:WLT131152 WVP131146:WVP131152 H196682:H196688 JD196682:JD196688 SZ196682:SZ196688 ACV196682:ACV196688 AMR196682:AMR196688 AWN196682:AWN196688 BGJ196682:BGJ196688 BQF196682:BQF196688 CAB196682:CAB196688 CJX196682:CJX196688 CTT196682:CTT196688 DDP196682:DDP196688 DNL196682:DNL196688 DXH196682:DXH196688 EHD196682:EHD196688 EQZ196682:EQZ196688 FAV196682:FAV196688 FKR196682:FKR196688 FUN196682:FUN196688 GEJ196682:GEJ196688 GOF196682:GOF196688 GYB196682:GYB196688 HHX196682:HHX196688 HRT196682:HRT196688 IBP196682:IBP196688 ILL196682:ILL196688 IVH196682:IVH196688 JFD196682:JFD196688 JOZ196682:JOZ196688 JYV196682:JYV196688 KIR196682:KIR196688 KSN196682:KSN196688 LCJ196682:LCJ196688 LMF196682:LMF196688 LWB196682:LWB196688 MFX196682:MFX196688 MPT196682:MPT196688 MZP196682:MZP196688 NJL196682:NJL196688 NTH196682:NTH196688 ODD196682:ODD196688 OMZ196682:OMZ196688 OWV196682:OWV196688 PGR196682:PGR196688 PQN196682:PQN196688 QAJ196682:QAJ196688 QKF196682:QKF196688 QUB196682:QUB196688 RDX196682:RDX196688 RNT196682:RNT196688 RXP196682:RXP196688 SHL196682:SHL196688 SRH196682:SRH196688 TBD196682:TBD196688 TKZ196682:TKZ196688 TUV196682:TUV196688 UER196682:UER196688 UON196682:UON196688 UYJ196682:UYJ196688 VIF196682:VIF196688 VSB196682:VSB196688 WBX196682:WBX196688 WLT196682:WLT196688 WVP196682:WVP196688 H262218:H262224 JD262218:JD262224 SZ262218:SZ262224 ACV262218:ACV262224 AMR262218:AMR262224 AWN262218:AWN262224 BGJ262218:BGJ262224 BQF262218:BQF262224 CAB262218:CAB262224 CJX262218:CJX262224 CTT262218:CTT262224 DDP262218:DDP262224 DNL262218:DNL262224 DXH262218:DXH262224 EHD262218:EHD262224 EQZ262218:EQZ262224 FAV262218:FAV262224 FKR262218:FKR262224 FUN262218:FUN262224 GEJ262218:GEJ262224 GOF262218:GOF262224 GYB262218:GYB262224 HHX262218:HHX262224 HRT262218:HRT262224 IBP262218:IBP262224 ILL262218:ILL262224 IVH262218:IVH262224 JFD262218:JFD262224 JOZ262218:JOZ262224 JYV262218:JYV262224 KIR262218:KIR262224 KSN262218:KSN262224 LCJ262218:LCJ262224 LMF262218:LMF262224 LWB262218:LWB262224 MFX262218:MFX262224 MPT262218:MPT262224 MZP262218:MZP262224 NJL262218:NJL262224 NTH262218:NTH262224 ODD262218:ODD262224 OMZ262218:OMZ262224 OWV262218:OWV262224 PGR262218:PGR262224 PQN262218:PQN262224 QAJ262218:QAJ262224 QKF262218:QKF262224 QUB262218:QUB262224 RDX262218:RDX262224 RNT262218:RNT262224 RXP262218:RXP262224 SHL262218:SHL262224 SRH262218:SRH262224 TBD262218:TBD262224 TKZ262218:TKZ262224 TUV262218:TUV262224 UER262218:UER262224 UON262218:UON262224 UYJ262218:UYJ262224 VIF262218:VIF262224 VSB262218:VSB262224 WBX262218:WBX262224 WLT262218:WLT262224 WVP262218:WVP262224 H327754:H327760 JD327754:JD327760 SZ327754:SZ327760 ACV327754:ACV327760 AMR327754:AMR327760 AWN327754:AWN327760 BGJ327754:BGJ327760 BQF327754:BQF327760 CAB327754:CAB327760 CJX327754:CJX327760 CTT327754:CTT327760 DDP327754:DDP327760 DNL327754:DNL327760 DXH327754:DXH327760 EHD327754:EHD327760 EQZ327754:EQZ327760 FAV327754:FAV327760 FKR327754:FKR327760 FUN327754:FUN327760 GEJ327754:GEJ327760 GOF327754:GOF327760 GYB327754:GYB327760 HHX327754:HHX327760 HRT327754:HRT327760 IBP327754:IBP327760 ILL327754:ILL327760 IVH327754:IVH327760 JFD327754:JFD327760 JOZ327754:JOZ327760 JYV327754:JYV327760 KIR327754:KIR327760 KSN327754:KSN327760 LCJ327754:LCJ327760 LMF327754:LMF327760 LWB327754:LWB327760 MFX327754:MFX327760 MPT327754:MPT327760 MZP327754:MZP327760 NJL327754:NJL327760 NTH327754:NTH327760 ODD327754:ODD327760 OMZ327754:OMZ327760 OWV327754:OWV327760 PGR327754:PGR327760 PQN327754:PQN327760 QAJ327754:QAJ327760 QKF327754:QKF327760 QUB327754:QUB327760 RDX327754:RDX327760 RNT327754:RNT327760 RXP327754:RXP327760 SHL327754:SHL327760 SRH327754:SRH327760 TBD327754:TBD327760 TKZ327754:TKZ327760 TUV327754:TUV327760 UER327754:UER327760 UON327754:UON327760 UYJ327754:UYJ327760 VIF327754:VIF327760 VSB327754:VSB327760 WBX327754:WBX327760 WLT327754:WLT327760 WVP327754:WVP327760 H393290:H393296 JD393290:JD393296 SZ393290:SZ393296 ACV393290:ACV393296 AMR393290:AMR393296 AWN393290:AWN393296 BGJ393290:BGJ393296 BQF393290:BQF393296 CAB393290:CAB393296 CJX393290:CJX393296 CTT393290:CTT393296 DDP393290:DDP393296 DNL393290:DNL393296 DXH393290:DXH393296 EHD393290:EHD393296 EQZ393290:EQZ393296 FAV393290:FAV393296 FKR393290:FKR393296 FUN393290:FUN393296 GEJ393290:GEJ393296 GOF393290:GOF393296 GYB393290:GYB393296 HHX393290:HHX393296 HRT393290:HRT393296 IBP393290:IBP393296 ILL393290:ILL393296 IVH393290:IVH393296 JFD393290:JFD393296 JOZ393290:JOZ393296 JYV393290:JYV393296 KIR393290:KIR393296 KSN393290:KSN393296 LCJ393290:LCJ393296 LMF393290:LMF393296 LWB393290:LWB393296 MFX393290:MFX393296 MPT393290:MPT393296 MZP393290:MZP393296 NJL393290:NJL393296 NTH393290:NTH393296 ODD393290:ODD393296 OMZ393290:OMZ393296 OWV393290:OWV393296 PGR393290:PGR393296 PQN393290:PQN393296 QAJ393290:QAJ393296 QKF393290:QKF393296 QUB393290:QUB393296 RDX393290:RDX393296 RNT393290:RNT393296 RXP393290:RXP393296 SHL393290:SHL393296 SRH393290:SRH393296 TBD393290:TBD393296 TKZ393290:TKZ393296 TUV393290:TUV393296 UER393290:UER393296 UON393290:UON393296 UYJ393290:UYJ393296 VIF393290:VIF393296 VSB393290:VSB393296 WBX393290:WBX393296 WLT393290:WLT393296 WVP393290:WVP393296 H458826:H458832 JD458826:JD458832 SZ458826:SZ458832 ACV458826:ACV458832 AMR458826:AMR458832 AWN458826:AWN458832 BGJ458826:BGJ458832 BQF458826:BQF458832 CAB458826:CAB458832 CJX458826:CJX458832 CTT458826:CTT458832 DDP458826:DDP458832 DNL458826:DNL458832 DXH458826:DXH458832 EHD458826:EHD458832 EQZ458826:EQZ458832 FAV458826:FAV458832 FKR458826:FKR458832 FUN458826:FUN458832 GEJ458826:GEJ458832 GOF458826:GOF458832 GYB458826:GYB458832 HHX458826:HHX458832 HRT458826:HRT458832 IBP458826:IBP458832 ILL458826:ILL458832 IVH458826:IVH458832 JFD458826:JFD458832 JOZ458826:JOZ458832 JYV458826:JYV458832 KIR458826:KIR458832 KSN458826:KSN458832 LCJ458826:LCJ458832 LMF458826:LMF458832 LWB458826:LWB458832 MFX458826:MFX458832 MPT458826:MPT458832 MZP458826:MZP458832 NJL458826:NJL458832 NTH458826:NTH458832 ODD458826:ODD458832 OMZ458826:OMZ458832 OWV458826:OWV458832 PGR458826:PGR458832 PQN458826:PQN458832 QAJ458826:QAJ458832 QKF458826:QKF458832 QUB458826:QUB458832 RDX458826:RDX458832 RNT458826:RNT458832 RXP458826:RXP458832 SHL458826:SHL458832 SRH458826:SRH458832 TBD458826:TBD458832 TKZ458826:TKZ458832 TUV458826:TUV458832 UER458826:UER458832 UON458826:UON458832 UYJ458826:UYJ458832 VIF458826:VIF458832 VSB458826:VSB458832 WBX458826:WBX458832 WLT458826:WLT458832 WVP458826:WVP458832 H524362:H524368 JD524362:JD524368 SZ524362:SZ524368 ACV524362:ACV524368 AMR524362:AMR524368 AWN524362:AWN524368 BGJ524362:BGJ524368 BQF524362:BQF524368 CAB524362:CAB524368 CJX524362:CJX524368 CTT524362:CTT524368 DDP524362:DDP524368 DNL524362:DNL524368 DXH524362:DXH524368 EHD524362:EHD524368 EQZ524362:EQZ524368 FAV524362:FAV524368 FKR524362:FKR524368 FUN524362:FUN524368 GEJ524362:GEJ524368 GOF524362:GOF524368 GYB524362:GYB524368 HHX524362:HHX524368 HRT524362:HRT524368 IBP524362:IBP524368 ILL524362:ILL524368 IVH524362:IVH524368 JFD524362:JFD524368 JOZ524362:JOZ524368 JYV524362:JYV524368 KIR524362:KIR524368 KSN524362:KSN524368 LCJ524362:LCJ524368 LMF524362:LMF524368 LWB524362:LWB524368 MFX524362:MFX524368 MPT524362:MPT524368 MZP524362:MZP524368 NJL524362:NJL524368 NTH524362:NTH524368 ODD524362:ODD524368 OMZ524362:OMZ524368 OWV524362:OWV524368 PGR524362:PGR524368 PQN524362:PQN524368 QAJ524362:QAJ524368 QKF524362:QKF524368 QUB524362:QUB524368 RDX524362:RDX524368 RNT524362:RNT524368 RXP524362:RXP524368 SHL524362:SHL524368 SRH524362:SRH524368 TBD524362:TBD524368 TKZ524362:TKZ524368 TUV524362:TUV524368 UER524362:UER524368 UON524362:UON524368 UYJ524362:UYJ524368 VIF524362:VIF524368 VSB524362:VSB524368 WBX524362:WBX524368 WLT524362:WLT524368 WVP524362:WVP524368 H589898:H589904 JD589898:JD589904 SZ589898:SZ589904 ACV589898:ACV589904 AMR589898:AMR589904 AWN589898:AWN589904 BGJ589898:BGJ589904 BQF589898:BQF589904 CAB589898:CAB589904 CJX589898:CJX589904 CTT589898:CTT589904 DDP589898:DDP589904 DNL589898:DNL589904 DXH589898:DXH589904 EHD589898:EHD589904 EQZ589898:EQZ589904 FAV589898:FAV589904 FKR589898:FKR589904 FUN589898:FUN589904 GEJ589898:GEJ589904 GOF589898:GOF589904 GYB589898:GYB589904 HHX589898:HHX589904 HRT589898:HRT589904 IBP589898:IBP589904 ILL589898:ILL589904 IVH589898:IVH589904 JFD589898:JFD589904 JOZ589898:JOZ589904 JYV589898:JYV589904 KIR589898:KIR589904 KSN589898:KSN589904 LCJ589898:LCJ589904 LMF589898:LMF589904 LWB589898:LWB589904 MFX589898:MFX589904 MPT589898:MPT589904 MZP589898:MZP589904 NJL589898:NJL589904 NTH589898:NTH589904 ODD589898:ODD589904 OMZ589898:OMZ589904 OWV589898:OWV589904 PGR589898:PGR589904 PQN589898:PQN589904 QAJ589898:QAJ589904 QKF589898:QKF589904 QUB589898:QUB589904 RDX589898:RDX589904 RNT589898:RNT589904 RXP589898:RXP589904 SHL589898:SHL589904 SRH589898:SRH589904 TBD589898:TBD589904 TKZ589898:TKZ589904 TUV589898:TUV589904 UER589898:UER589904 UON589898:UON589904 UYJ589898:UYJ589904 VIF589898:VIF589904 VSB589898:VSB589904 WBX589898:WBX589904 WLT589898:WLT589904 WVP589898:WVP589904 H655434:H655440 JD655434:JD655440 SZ655434:SZ655440 ACV655434:ACV655440 AMR655434:AMR655440 AWN655434:AWN655440 BGJ655434:BGJ655440 BQF655434:BQF655440 CAB655434:CAB655440 CJX655434:CJX655440 CTT655434:CTT655440 DDP655434:DDP655440 DNL655434:DNL655440 DXH655434:DXH655440 EHD655434:EHD655440 EQZ655434:EQZ655440 FAV655434:FAV655440 FKR655434:FKR655440 FUN655434:FUN655440 GEJ655434:GEJ655440 GOF655434:GOF655440 GYB655434:GYB655440 HHX655434:HHX655440 HRT655434:HRT655440 IBP655434:IBP655440 ILL655434:ILL655440 IVH655434:IVH655440 JFD655434:JFD655440 JOZ655434:JOZ655440 JYV655434:JYV655440 KIR655434:KIR655440 KSN655434:KSN655440 LCJ655434:LCJ655440 LMF655434:LMF655440 LWB655434:LWB655440 MFX655434:MFX655440 MPT655434:MPT655440 MZP655434:MZP655440 NJL655434:NJL655440 NTH655434:NTH655440 ODD655434:ODD655440 OMZ655434:OMZ655440 OWV655434:OWV655440 PGR655434:PGR655440 PQN655434:PQN655440 QAJ655434:QAJ655440 QKF655434:QKF655440 QUB655434:QUB655440 RDX655434:RDX655440 RNT655434:RNT655440 RXP655434:RXP655440 SHL655434:SHL655440 SRH655434:SRH655440 TBD655434:TBD655440 TKZ655434:TKZ655440 TUV655434:TUV655440 UER655434:UER655440 UON655434:UON655440 UYJ655434:UYJ655440 VIF655434:VIF655440 VSB655434:VSB655440 WBX655434:WBX655440 WLT655434:WLT655440 WVP655434:WVP655440 H720970:H720976 JD720970:JD720976 SZ720970:SZ720976 ACV720970:ACV720976 AMR720970:AMR720976 AWN720970:AWN720976 BGJ720970:BGJ720976 BQF720970:BQF720976 CAB720970:CAB720976 CJX720970:CJX720976 CTT720970:CTT720976 DDP720970:DDP720976 DNL720970:DNL720976 DXH720970:DXH720976 EHD720970:EHD720976 EQZ720970:EQZ720976 FAV720970:FAV720976 FKR720970:FKR720976 FUN720970:FUN720976 GEJ720970:GEJ720976 GOF720970:GOF720976 GYB720970:GYB720976 HHX720970:HHX720976 HRT720970:HRT720976 IBP720970:IBP720976 ILL720970:ILL720976 IVH720970:IVH720976 JFD720970:JFD720976 JOZ720970:JOZ720976 JYV720970:JYV720976 KIR720970:KIR720976 KSN720970:KSN720976 LCJ720970:LCJ720976 LMF720970:LMF720976 LWB720970:LWB720976 MFX720970:MFX720976 MPT720970:MPT720976 MZP720970:MZP720976 NJL720970:NJL720976 NTH720970:NTH720976 ODD720970:ODD720976 OMZ720970:OMZ720976 OWV720970:OWV720976 PGR720970:PGR720976 PQN720970:PQN720976 QAJ720970:QAJ720976 QKF720970:QKF720976 QUB720970:QUB720976 RDX720970:RDX720976 RNT720970:RNT720976 RXP720970:RXP720976 SHL720970:SHL720976 SRH720970:SRH720976 TBD720970:TBD720976 TKZ720970:TKZ720976 TUV720970:TUV720976 UER720970:UER720976 UON720970:UON720976 UYJ720970:UYJ720976 VIF720970:VIF720976 VSB720970:VSB720976 WBX720970:WBX720976 WLT720970:WLT720976 WVP720970:WVP720976 H786506:H786512 JD786506:JD786512 SZ786506:SZ786512 ACV786506:ACV786512 AMR786506:AMR786512 AWN786506:AWN786512 BGJ786506:BGJ786512 BQF786506:BQF786512 CAB786506:CAB786512 CJX786506:CJX786512 CTT786506:CTT786512 DDP786506:DDP786512 DNL786506:DNL786512 DXH786506:DXH786512 EHD786506:EHD786512 EQZ786506:EQZ786512 FAV786506:FAV786512 FKR786506:FKR786512 FUN786506:FUN786512 GEJ786506:GEJ786512 GOF786506:GOF786512 GYB786506:GYB786512 HHX786506:HHX786512 HRT786506:HRT786512 IBP786506:IBP786512 ILL786506:ILL786512 IVH786506:IVH786512 JFD786506:JFD786512 JOZ786506:JOZ786512 JYV786506:JYV786512 KIR786506:KIR786512 KSN786506:KSN786512 LCJ786506:LCJ786512 LMF786506:LMF786512 LWB786506:LWB786512 MFX786506:MFX786512 MPT786506:MPT786512 MZP786506:MZP786512 NJL786506:NJL786512 NTH786506:NTH786512 ODD786506:ODD786512 OMZ786506:OMZ786512 OWV786506:OWV786512 PGR786506:PGR786512 PQN786506:PQN786512 QAJ786506:QAJ786512 QKF786506:QKF786512 QUB786506:QUB786512 RDX786506:RDX786512 RNT786506:RNT786512 RXP786506:RXP786512 SHL786506:SHL786512 SRH786506:SRH786512 TBD786506:TBD786512 TKZ786506:TKZ786512 TUV786506:TUV786512 UER786506:UER786512 UON786506:UON786512 UYJ786506:UYJ786512 VIF786506:VIF786512 VSB786506:VSB786512 WBX786506:WBX786512 WLT786506:WLT786512 WVP786506:WVP786512 H852042:H852048 JD852042:JD852048 SZ852042:SZ852048 ACV852042:ACV852048 AMR852042:AMR852048 AWN852042:AWN852048 BGJ852042:BGJ852048 BQF852042:BQF852048 CAB852042:CAB852048 CJX852042:CJX852048 CTT852042:CTT852048 DDP852042:DDP852048 DNL852042:DNL852048 DXH852042:DXH852048 EHD852042:EHD852048 EQZ852042:EQZ852048 FAV852042:FAV852048 FKR852042:FKR852048 FUN852042:FUN852048 GEJ852042:GEJ852048 GOF852042:GOF852048 GYB852042:GYB852048 HHX852042:HHX852048 HRT852042:HRT852048 IBP852042:IBP852048 ILL852042:ILL852048 IVH852042:IVH852048 JFD852042:JFD852048 JOZ852042:JOZ852048 JYV852042:JYV852048 KIR852042:KIR852048 KSN852042:KSN852048 LCJ852042:LCJ852048 LMF852042:LMF852048 LWB852042:LWB852048 MFX852042:MFX852048 MPT852042:MPT852048 MZP852042:MZP852048 NJL852042:NJL852048 NTH852042:NTH852048 ODD852042:ODD852048 OMZ852042:OMZ852048 OWV852042:OWV852048 PGR852042:PGR852048 PQN852042:PQN852048 QAJ852042:QAJ852048 QKF852042:QKF852048 QUB852042:QUB852048 RDX852042:RDX852048 RNT852042:RNT852048 RXP852042:RXP852048 SHL852042:SHL852048 SRH852042:SRH852048 TBD852042:TBD852048 TKZ852042:TKZ852048 TUV852042:TUV852048 UER852042:UER852048 UON852042:UON852048 UYJ852042:UYJ852048 VIF852042:VIF852048 VSB852042:VSB852048 WBX852042:WBX852048 WLT852042:WLT852048 WVP852042:WVP852048 H917578:H917584 JD917578:JD917584 SZ917578:SZ917584 ACV917578:ACV917584 AMR917578:AMR917584 AWN917578:AWN917584 BGJ917578:BGJ917584 BQF917578:BQF917584 CAB917578:CAB917584 CJX917578:CJX917584 CTT917578:CTT917584 DDP917578:DDP917584 DNL917578:DNL917584 DXH917578:DXH917584 EHD917578:EHD917584 EQZ917578:EQZ917584 FAV917578:FAV917584 FKR917578:FKR917584 FUN917578:FUN917584 GEJ917578:GEJ917584 GOF917578:GOF917584 GYB917578:GYB917584 HHX917578:HHX917584 HRT917578:HRT917584 IBP917578:IBP917584 ILL917578:ILL917584 IVH917578:IVH917584 JFD917578:JFD917584 JOZ917578:JOZ917584 JYV917578:JYV917584 KIR917578:KIR917584 KSN917578:KSN917584 LCJ917578:LCJ917584 LMF917578:LMF917584 LWB917578:LWB917584 MFX917578:MFX917584 MPT917578:MPT917584 MZP917578:MZP917584 NJL917578:NJL917584 NTH917578:NTH917584 ODD917578:ODD917584 OMZ917578:OMZ917584 OWV917578:OWV917584 PGR917578:PGR917584 PQN917578:PQN917584 QAJ917578:QAJ917584 QKF917578:QKF917584 QUB917578:QUB917584 RDX917578:RDX917584 RNT917578:RNT917584 RXP917578:RXP917584 SHL917578:SHL917584 SRH917578:SRH917584 TBD917578:TBD917584 TKZ917578:TKZ917584 TUV917578:TUV917584 UER917578:UER917584 UON917578:UON917584 UYJ917578:UYJ917584 VIF917578:VIF917584 VSB917578:VSB917584 WBX917578:WBX917584 WLT917578:WLT917584 WVP917578:WVP917584 H983114:H983120 JD983114:JD983120 SZ983114:SZ983120 ACV983114:ACV983120 AMR983114:AMR983120 AWN983114:AWN983120 BGJ983114:BGJ983120 BQF983114:BQF983120 CAB983114:CAB983120 CJX983114:CJX983120 CTT983114:CTT983120 DDP983114:DDP983120 DNL983114:DNL983120 DXH983114:DXH983120 EHD983114:EHD983120 EQZ983114:EQZ983120 FAV983114:FAV983120 FKR983114:FKR983120 FUN983114:FUN983120 GEJ983114:GEJ983120 GOF983114:GOF983120 GYB983114:GYB983120 HHX983114:HHX983120 HRT983114:HRT983120 IBP983114:IBP983120 ILL983114:ILL983120 IVH983114:IVH983120 JFD983114:JFD983120 JOZ983114:JOZ983120 JYV983114:JYV983120 KIR983114:KIR983120 KSN983114:KSN983120 LCJ983114:LCJ983120 LMF983114:LMF983120 LWB983114:LWB983120 MFX983114:MFX983120 MPT983114:MPT983120 MZP983114:MZP983120 NJL983114:NJL983120 NTH983114:NTH983120 ODD983114:ODD983120 OMZ983114:OMZ983120 OWV983114:OWV983120 PGR983114:PGR983120 PQN983114:PQN983120 QAJ983114:QAJ983120 QKF983114:QKF983120 QUB983114:QUB983120 RDX983114:RDX983120 RNT983114:RNT983120 RXP983114:RXP983120 SHL983114:SHL983120 SRH983114:SRH983120 TBD983114:TBD983120 TKZ983114:TKZ983120 TUV983114:TUV983120 UER983114:UER983120 UON983114:UON983120 UYJ983114:UYJ983120 VIF983114:VIF983120 VSB983114:VSB983120 WBX983114:WBX983120 WLT983114:WLT983120 WVP983114:WVP983120 JP104 TL104 ADH104 AND104 AWZ104 BGV104 BQR104 CAN104 CKJ104 CUF104 DEB104 DNX104 DXT104 EHP104 ERL104 FBH104 FLD104 FUZ104 GEV104 GOR104 GYN104 HIJ104 HSF104 ICB104 ILX104 IVT104 JFP104 JPL104 JZH104 KJD104 KSZ104 LCV104 LMR104 LWN104 MGJ104 MQF104 NAB104 NJX104 NTT104 ODP104 ONL104 OXH104 PHD104 PQZ104 QAV104 QKR104 QUN104 REJ104 ROF104 RYB104 SHX104 SRT104 TBP104 TLL104 TVH104 UFD104 UOZ104 UYV104 VIR104 VSN104 WCJ104 WMF104 WWB104 T65639 JP65639 TL65639 ADH65639 AND65639 AWZ65639 BGV65639 BQR65639 CAN65639 CKJ65639 CUF65639 DEB65639 DNX65639 DXT65639 EHP65639 ERL65639 FBH65639 FLD65639 FUZ65639 GEV65639 GOR65639 GYN65639 HIJ65639 HSF65639 ICB65639 ILX65639 IVT65639 JFP65639 JPL65639 JZH65639 KJD65639 KSZ65639 LCV65639 LMR65639 LWN65639 MGJ65639 MQF65639 NAB65639 NJX65639 NTT65639 ODP65639 ONL65639 OXH65639 PHD65639 PQZ65639 QAV65639 QKR65639 QUN65639 REJ65639 ROF65639 RYB65639 SHX65639 SRT65639 TBP65639 TLL65639 TVH65639 UFD65639 UOZ65639 UYV65639 VIR65639 VSN65639 WCJ65639 WMF65639 WWB65639 T131175 JP131175 TL131175 ADH131175 AND131175 AWZ131175 BGV131175 BQR131175 CAN131175 CKJ131175 CUF131175 DEB131175 DNX131175 DXT131175 EHP131175 ERL131175 FBH131175 FLD131175 FUZ131175 GEV131175 GOR131175 GYN131175 HIJ131175 HSF131175 ICB131175 ILX131175 IVT131175 JFP131175 JPL131175 JZH131175 KJD131175 KSZ131175 LCV131175 LMR131175 LWN131175 MGJ131175 MQF131175 NAB131175 NJX131175 NTT131175 ODP131175 ONL131175 OXH131175 PHD131175 PQZ131175 QAV131175 QKR131175 QUN131175 REJ131175 ROF131175 RYB131175 SHX131175 SRT131175 TBP131175 TLL131175 TVH131175 UFD131175 UOZ131175 UYV131175 VIR131175 VSN131175 WCJ131175 WMF131175 WWB131175 T196711 JP196711 TL196711 ADH196711 AND196711 AWZ196711 BGV196711 BQR196711 CAN196711 CKJ196711 CUF196711 DEB196711 DNX196711 DXT196711 EHP196711 ERL196711 FBH196711 FLD196711 FUZ196711 GEV196711 GOR196711 GYN196711 HIJ196711 HSF196711 ICB196711 ILX196711 IVT196711 JFP196711 JPL196711 JZH196711 KJD196711 KSZ196711 LCV196711 LMR196711 LWN196711 MGJ196711 MQF196711 NAB196711 NJX196711 NTT196711 ODP196711 ONL196711 OXH196711 PHD196711 PQZ196711 QAV196711 QKR196711 QUN196711 REJ196711 ROF196711 RYB196711 SHX196711 SRT196711 TBP196711 TLL196711 TVH196711 UFD196711 UOZ196711 UYV196711 VIR196711 VSN196711 WCJ196711 WMF196711 WWB196711 T262247 JP262247 TL262247 ADH262247 AND262247 AWZ262247 BGV262247 BQR262247 CAN262247 CKJ262247 CUF262247 DEB262247 DNX262247 DXT262247 EHP262247 ERL262247 FBH262247 FLD262247 FUZ262247 GEV262247 GOR262247 GYN262247 HIJ262247 HSF262247 ICB262247 ILX262247 IVT262247 JFP262247 JPL262247 JZH262247 KJD262247 KSZ262247 LCV262247 LMR262247 LWN262247 MGJ262247 MQF262247 NAB262247 NJX262247 NTT262247 ODP262247 ONL262247 OXH262247 PHD262247 PQZ262247 QAV262247 QKR262247 QUN262247 REJ262247 ROF262247 RYB262247 SHX262247 SRT262247 TBP262247 TLL262247 TVH262247 UFD262247 UOZ262247 UYV262247 VIR262247 VSN262247 WCJ262247 WMF262247 WWB262247 T327783 JP327783 TL327783 ADH327783 AND327783 AWZ327783 BGV327783 BQR327783 CAN327783 CKJ327783 CUF327783 DEB327783 DNX327783 DXT327783 EHP327783 ERL327783 FBH327783 FLD327783 FUZ327783 GEV327783 GOR327783 GYN327783 HIJ327783 HSF327783 ICB327783 ILX327783 IVT327783 JFP327783 JPL327783 JZH327783 KJD327783 KSZ327783 LCV327783 LMR327783 LWN327783 MGJ327783 MQF327783 NAB327783 NJX327783 NTT327783 ODP327783 ONL327783 OXH327783 PHD327783 PQZ327783 QAV327783 QKR327783 QUN327783 REJ327783 ROF327783 RYB327783 SHX327783 SRT327783 TBP327783 TLL327783 TVH327783 UFD327783 UOZ327783 UYV327783 VIR327783 VSN327783 WCJ327783 WMF327783 WWB327783 T393319 JP393319 TL393319 ADH393319 AND393319 AWZ393319 BGV393319 BQR393319 CAN393319 CKJ393319 CUF393319 DEB393319 DNX393319 DXT393319 EHP393319 ERL393319 FBH393319 FLD393319 FUZ393319 GEV393319 GOR393319 GYN393319 HIJ393319 HSF393319 ICB393319 ILX393319 IVT393319 JFP393319 JPL393319 JZH393319 KJD393319 KSZ393319 LCV393319 LMR393319 LWN393319 MGJ393319 MQF393319 NAB393319 NJX393319 NTT393319 ODP393319 ONL393319 OXH393319 PHD393319 PQZ393319 QAV393319 QKR393319 QUN393319 REJ393319 ROF393319 RYB393319 SHX393319 SRT393319 TBP393319 TLL393319 TVH393319 UFD393319 UOZ393319 UYV393319 VIR393319 VSN393319 WCJ393319 WMF393319 WWB393319 T458855 JP458855 TL458855 ADH458855 AND458855 AWZ458855 BGV458855 BQR458855 CAN458855 CKJ458855 CUF458855 DEB458855 DNX458855 DXT458855 EHP458855 ERL458855 FBH458855 FLD458855 FUZ458855 GEV458855 GOR458855 GYN458855 HIJ458855 HSF458855 ICB458855 ILX458855 IVT458855 JFP458855 JPL458855 JZH458855 KJD458855 KSZ458855 LCV458855 LMR458855 LWN458855 MGJ458855 MQF458855 NAB458855 NJX458855 NTT458855 ODP458855 ONL458855 OXH458855 PHD458855 PQZ458855 QAV458855 QKR458855 QUN458855 REJ458855 ROF458855 RYB458855 SHX458855 SRT458855 TBP458855 TLL458855 TVH458855 UFD458855 UOZ458855 UYV458855 VIR458855 VSN458855 WCJ458855 WMF458855 WWB458855 T524391 JP524391 TL524391 ADH524391 AND524391 AWZ524391 BGV524391 BQR524391 CAN524391 CKJ524391 CUF524391 DEB524391 DNX524391 DXT524391 EHP524391 ERL524391 FBH524391 FLD524391 FUZ524391 GEV524391 GOR524391 GYN524391 HIJ524391 HSF524391 ICB524391 ILX524391 IVT524391 JFP524391 JPL524391 JZH524391 KJD524391 KSZ524391 LCV524391 LMR524391 LWN524391 MGJ524391 MQF524391 NAB524391 NJX524391 NTT524391 ODP524391 ONL524391 OXH524391 PHD524391 PQZ524391 QAV524391 QKR524391 QUN524391 REJ524391 ROF524391 RYB524391 SHX524391 SRT524391 TBP524391 TLL524391 TVH524391 UFD524391 UOZ524391 UYV524391 VIR524391 VSN524391 WCJ524391 WMF524391 WWB524391 T589927 JP589927 TL589927 ADH589927 AND589927 AWZ589927 BGV589927 BQR589927 CAN589927 CKJ589927 CUF589927 DEB589927 DNX589927 DXT589927 EHP589927 ERL589927 FBH589927 FLD589927 FUZ589927 GEV589927 GOR589927 GYN589927 HIJ589927 HSF589927 ICB589927 ILX589927 IVT589927 JFP589927 JPL589927 JZH589927 KJD589927 KSZ589927 LCV589927 LMR589927 LWN589927 MGJ589927 MQF589927 NAB589927 NJX589927 NTT589927 ODP589927 ONL589927 OXH589927 PHD589927 PQZ589927 QAV589927 QKR589927 QUN589927 REJ589927 ROF589927 RYB589927 SHX589927 SRT589927 TBP589927 TLL589927 TVH589927 UFD589927 UOZ589927 UYV589927 VIR589927 VSN589927 WCJ589927 WMF589927 WWB589927 T655463 JP655463 TL655463 ADH655463 AND655463 AWZ655463 BGV655463 BQR655463 CAN655463 CKJ655463 CUF655463 DEB655463 DNX655463 DXT655463 EHP655463 ERL655463 FBH655463 FLD655463 FUZ655463 GEV655463 GOR655463 GYN655463 HIJ655463 HSF655463 ICB655463 ILX655463 IVT655463 JFP655463 JPL655463 JZH655463 KJD655463 KSZ655463 LCV655463 LMR655463 LWN655463 MGJ655463 MQF655463 NAB655463 NJX655463 NTT655463 ODP655463 ONL655463 OXH655463 PHD655463 PQZ655463 QAV655463 QKR655463 QUN655463 REJ655463 ROF655463 RYB655463 SHX655463 SRT655463 TBP655463 TLL655463 TVH655463 UFD655463 UOZ655463 UYV655463 VIR655463 VSN655463 WCJ655463 WMF655463 WWB655463 T720999 JP720999 TL720999 ADH720999 AND720999 AWZ720999 BGV720999 BQR720999 CAN720999 CKJ720999 CUF720999 DEB720999 DNX720999 DXT720999 EHP720999 ERL720999 FBH720999 FLD720999 FUZ720999 GEV720999 GOR720999 GYN720999 HIJ720999 HSF720999 ICB720999 ILX720999 IVT720999 JFP720999 JPL720999 JZH720999 KJD720999 KSZ720999 LCV720999 LMR720999 LWN720999 MGJ720999 MQF720999 NAB720999 NJX720999 NTT720999 ODP720999 ONL720999 OXH720999 PHD720999 PQZ720999 QAV720999 QKR720999 QUN720999 REJ720999 ROF720999 RYB720999 SHX720999 SRT720999 TBP720999 TLL720999 TVH720999 UFD720999 UOZ720999 UYV720999 VIR720999 VSN720999 WCJ720999 WMF720999 WWB720999 T786535 JP786535 TL786535 ADH786535 AND786535 AWZ786535 BGV786535 BQR786535 CAN786535 CKJ786535 CUF786535 DEB786535 DNX786535 DXT786535 EHP786535 ERL786535 FBH786535 FLD786535 FUZ786535 GEV786535 GOR786535 GYN786535 HIJ786535 HSF786535 ICB786535 ILX786535 IVT786535 JFP786535 JPL786535 JZH786535 KJD786535 KSZ786535 LCV786535 LMR786535 LWN786535 MGJ786535 MQF786535 NAB786535 NJX786535 NTT786535 ODP786535 ONL786535 OXH786535 PHD786535 PQZ786535 QAV786535 QKR786535 QUN786535 REJ786535 ROF786535 RYB786535 SHX786535 SRT786535 TBP786535 TLL786535 TVH786535 UFD786535 UOZ786535 UYV786535 VIR786535 VSN786535 WCJ786535 WMF786535 WWB786535 T852071 JP852071 TL852071 ADH852071 AND852071 AWZ852071 BGV852071 BQR852071 CAN852071 CKJ852071 CUF852071 DEB852071 DNX852071 DXT852071 EHP852071 ERL852071 FBH852071 FLD852071 FUZ852071 GEV852071 GOR852071 GYN852071 HIJ852071 HSF852071 ICB852071 ILX852071 IVT852071 JFP852071 JPL852071 JZH852071 KJD852071 KSZ852071 LCV852071 LMR852071 LWN852071 MGJ852071 MQF852071 NAB852071 NJX852071 NTT852071 ODP852071 ONL852071 OXH852071 PHD852071 PQZ852071 QAV852071 QKR852071 QUN852071 REJ852071 ROF852071 RYB852071 SHX852071 SRT852071 TBP852071 TLL852071 TVH852071 UFD852071 UOZ852071 UYV852071 VIR852071 VSN852071 WCJ852071 WMF852071 WWB852071 T917607 JP917607 TL917607 ADH917607 AND917607 AWZ917607 BGV917607 BQR917607 CAN917607 CKJ917607 CUF917607 DEB917607 DNX917607 DXT917607 EHP917607 ERL917607 FBH917607 FLD917607 FUZ917607 GEV917607 GOR917607 GYN917607 HIJ917607 HSF917607 ICB917607 ILX917607 IVT917607 JFP917607 JPL917607 JZH917607 KJD917607 KSZ917607 LCV917607 LMR917607 LWN917607 MGJ917607 MQF917607 NAB917607 NJX917607 NTT917607 ODP917607 ONL917607 OXH917607 PHD917607 PQZ917607 QAV917607 QKR917607 QUN917607 REJ917607 ROF917607 RYB917607 SHX917607 SRT917607 TBP917607 TLL917607 TVH917607 UFD917607 UOZ917607 UYV917607 VIR917607 VSN917607 WCJ917607 WMF917607 WWB917607 T983143 JP983143 TL983143 ADH983143 AND983143 AWZ983143 BGV983143 BQR983143 CAN983143 CKJ983143 CUF983143 DEB983143 DNX983143 DXT983143 EHP983143 ERL983143 FBH983143 FLD983143 FUZ983143 GEV983143 GOR983143 GYN983143 HIJ983143 HSF983143 ICB983143 ILX983143 IVT983143 JFP983143 JPL983143 JZH983143 KJD983143 KSZ983143 LCV983143 LMR983143 LWN983143 MGJ983143 MQF983143 NAB983143 NJX983143 NTT983143 ODP983143 ONL983143 OXH983143 PHD983143 PQZ983143 QAV983143 QKR983143 QUN983143 REJ983143 ROF983143 RYB983143 SHX983143 SRT983143 TBP983143 TLL983143 TVH983143 UFD983143 UOZ983143 UYV983143 VIR983143 VSN983143 WCJ983143 WMF983143 WWB983143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WVP71:WVP77 WLT71:WLT77 WBX71:WBX77 VSB71:VSB77 VIF71:VIF77 UYJ71:UYJ77 UON71:UON77 UER71:UER77 TUV71:TUV77 TKZ71:TKZ77 TBD71:TBD77 SRH71:SRH77 SHL71:SHL77 RXP71:RXP77 RNT71:RNT77 RDX71:RDX77 QUB71:QUB77 QKF71:QKF77 QAJ71:QAJ77 PQN71:PQN77 PGR71:PGR77 OWV71:OWV77 OMZ71:OMZ77 ODD71:ODD77 NTH71:NTH77 NJL71:NJL77 MZP71:MZP77 MPT71:MPT77 MFX71:MFX77 LWB71:LWB77 LMF71:LMF77 LCJ71:LCJ77 KSN71:KSN77 KIR71:KIR77 JYV71:JYV77 JOZ71:JOZ77 JFD71:JFD77 IVH71:IVH77 ILL71:ILL77 IBP71:IBP77 HRT71:HRT77 HHX71:HHX77 GYB71:GYB77 GOF71:GOF77 GEJ71:GEJ77 FUN71:FUN77 FKR71:FKR77 FAV71:FAV77 EQZ71:EQZ77 EHD71:EHD77 DXH71:DXH77 DNL71:DNL77 DDP71:DDP77 CTT71:CTT77 CJX71:CJX77 CAB71:CAB77 BQF71:BQF77 BGJ71:BGJ77 AWN71:AWN77 AMR71:AMR77 ACV71:ACV77 SZ71:SZ77 JD71:JD77 WWD71:WWD77 WMH71:WMH77 WCL71:WCL77 VSP71:VSP77 VIT71:VIT77 UYX71:UYX77 UPB71:UPB77 UFF71:UFF77 TVJ71:TVJ77 TLN71:TLN77 TBR71:TBR77 SRV71:SRV77 SHZ71:SHZ77 RYD71:RYD77 ROH71:ROH77 REL71:REL77 QUP71:QUP77 QKT71:QKT77 QAX71:QAX77 PRB71:PRB77 PHF71:PHF77 OXJ71:OXJ77 ONN71:ONN77 ODR71:ODR77 NTV71:NTV77 NJZ71:NJZ77 NAD71:NAD77 MQH71:MQH77 MGL71:MGL77 LWP71:LWP77 LMT71:LMT77 LCX71:LCX77 KTB71:KTB77 KJF71:KJF77 JZJ71:JZJ77 JPN71:JPN77 JFR71:JFR77 IVV71:IVV77 ILZ71:ILZ77 ICD71:ICD77 HSH71:HSH77 HIL71:HIL77 GYP71:GYP77 GOT71:GOT77 GEX71:GEX77 FVB71:FVB77 FLF71:FLF77 FBJ71:FBJ77 ERN71:ERN77 EHR71:EHR77 DXV71:DXV77 DNZ71:DNZ77 DED71:DED77 CUH71:CUH77 CKL71:CKL77 CAP71:CAP77 BQT71:BQT77 BGX71:BGX77 AXB71:AXB77 ANF71:ANF77 ADJ71:ADJ77 TN71:TN77 JR71:JR77 WVW71:WVW77 WMA71:WMA77 WCE71:WCE77 VSI71:VSI77 VIM71:VIM77 UYQ71:UYQ77 UOU71:UOU77 UEY71:UEY77 TVC71:TVC77 TLG71:TLG77 TBK71:TBK77 SRO71:SRO77 SHS71:SHS77 RXW71:RXW77 ROA71:ROA77 REE71:REE77 QUI71:QUI77 QKM71:QKM77 QAQ71:QAQ77 PQU71:PQU77 PGY71:PGY77 OXC71:OXC77 ONG71:ONG77 ODK71:ODK77 NTO71:NTO77 NJS71:NJS77 MZW71:MZW77 MQA71:MQA77 MGE71:MGE77 LWI71:LWI77 LMM71:LMM77 LCQ71:LCQ77 KSU71:KSU77 KIY71:KIY77 JZC71:JZC77 JPG71:JPG77 JFK71:JFK77 IVO71:IVO77 ILS71:ILS77 IBW71:IBW77 HSA71:HSA77 HIE71:HIE77 GYI71:GYI77 GOM71:GOM77 GEQ71:GEQ77 FUU71:FUU77 FKY71:FKY77 ANG105:ANG107 WVZ105:WVZ107 WMD105:WMD107 WCH105:WCH107 VSL105:VSL107 VIP105:VIP107 UYT105:UYT107 UOX105:UOX107 UFB105:UFB107 TVF105:TVF107 TLJ105:TLJ107 TBN105:TBN107 SRR105:SRR107 SHV105:SHV107 RXZ105:RXZ107 ROD105:ROD107 REH105:REH107 QUL105:QUL107 QKP105:QKP107 QAT105:QAT107 PQX105:PQX107 PHB105:PHB107 OXF105:OXF107 ONJ105:ONJ107 ODN105:ODN107 NTR105:NTR107 NJV105:NJV107 MZZ105:MZZ107 MQD105:MQD107 MGH105:MGH107 LWL105:LWL107 LMP105:LMP107 LCT105:LCT107 KSX105:KSX107 KJB105:KJB107 JZF105:JZF107 JPJ105:JPJ107 JFN105:JFN107 IVR105:IVR107 ILV105:ILV107 IBZ105:IBZ107 HSD105:HSD107 HIH105:HIH107 GYL105:GYL107 GOP105:GOP107 GET105:GET107 FUX105:FUX107 FLB105:FLB107 FBF105:FBF107 ERJ105:ERJ107 EHN105:EHN107 DXR105:DXR107 DNV105:DNV107 DDZ105:DDZ107 CUD105:CUD107 CKH105:CKH107 CAL105:CAL107 BQP105:BQP107 BGT105:BGT107 AWX105:AWX107 ANB105:ANB107 ADF105:ADF107 TJ105:TJ107 JN105:JN107 WVU104:WVU107 WLY104:WLY107 WCC104:WCC107 VSG104:VSG107 VIK104:VIK107 UYO104:UYO107 UOS104:UOS107 UEW104:UEW107 TVA104:TVA107 TLE104:TLE107 TBI104:TBI107 SRM104:SRM107 SHQ104:SHQ107 RXU104:RXU107 RNY104:RNY107 REC104:REC107 QUG104:QUG107 QKK104:QKK107 QAO104:QAO107 PQS104:PQS107 PGW104:PGW107 OXA104:OXA107 ONE104:ONE107 ODI104:ODI107 NTM104:NTM107 NJQ104:NJQ107 MZU104:MZU107 MPY104:MPY107 MGC104:MGC107 LWG104:LWG107 LMK104:LMK107 LCO104:LCO107 KSS104:KSS107 KIW104:KIW107 JZA104:JZA107 JPE104:JPE107 JFI104:JFI107 IVM104:IVM107 ILQ104:ILQ107 IBU104:IBU107 HRY104:HRY107 HIC104:HIC107 GYG104:GYG107 GOK104:GOK107 GEO104:GEO107 FUS104:FUS107 FKW104:FKW107 FBA104:FBA107 ERE104:ERE107 EHI104:EHI107 DXM104:DXM107 DNQ104:DNQ107 DDU104:DDU107 CTY104:CTY107 CKC104:CKC107 CAG104:CAG107 BQK104:BQK107 BGO104:BGO107 AWS104:AWS107 AMW104:AMW107 ADA104:ADA107 TE104:TE107 JI104:JI107 WWE105:WWE107 WMI105:WMI107 WCM105:WCM107 VSQ105:VSQ107 VIU105:VIU107 UYY105:UYY107 UPC105:UPC107 UFG105:UFG107 TVK105:TVK107 TLO105:TLO107 TBS105:TBS107 SRW105:SRW107 SIA105:SIA107 RYE105:RYE107 ROI105:ROI107 REM105:REM107 QUQ105:QUQ107 QKU105:QKU107 QAY105:QAY107 PRC105:PRC107 PHG105:PHG107 OXK105:OXK107 ONO105:ONO107 ODS105:ODS107 NTW105:NTW107 NKA105:NKA107 NAE105:NAE107 MQI105:MQI107 MGM105:MGM107 LWQ105:LWQ107 LMU105:LMU107 LCY105:LCY107 KTC105:KTC107 KJG105:KJG107 JZK105:JZK107 JPO105:JPO107 JFS105:JFS107 IVW105:IVW107 IMA105:IMA107 ICE105:ICE107 HSI105:HSI107 HIM105:HIM107 GYQ105:GYQ107 GOU105:GOU107 GEY105:GEY107 FVC105:FVC107 FLG105:FLG107 FBK105:FBK107 ERO105:ERO107 EHS105:EHS107 DXW105:DXW107 DOA105:DOA107 DEE105:DEE107 CUI105:CUI107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BF649"/>
  <sheetViews>
    <sheetView zoomScaleNormal="100" zoomScaleSheetLayoutView="100" workbookViewId="0">
      <selection activeCell="AM1" sqref="AM1"/>
    </sheetView>
  </sheetViews>
  <sheetFormatPr defaultColWidth="2.625" defaultRowHeight="13.5"/>
  <cols>
    <col min="1" max="1" width="1.625" style="551" customWidth="1"/>
    <col min="2" max="8" width="2.625" style="551" customWidth="1"/>
    <col min="9" max="9" width="3" style="551" customWidth="1"/>
    <col min="10" max="34" width="2.625" style="551" customWidth="1"/>
    <col min="35" max="37" width="2.375" style="551" customWidth="1"/>
    <col min="38" max="38" width="0.875" style="551" customWidth="1"/>
    <col min="39" max="40" width="2.625" style="551" customWidth="1"/>
    <col min="41" max="41" width="4.875" style="551" bestFit="1" customWidth="1"/>
    <col min="42" max="42" width="2.625" style="551" customWidth="1"/>
    <col min="43" max="16384" width="2.625" style="551"/>
  </cols>
  <sheetData>
    <row r="1" spans="1:38">
      <c r="A1" s="869" t="s">
        <v>3042</v>
      </c>
      <c r="B1" s="869"/>
      <c r="C1" s="869"/>
      <c r="D1" s="869"/>
      <c r="E1" s="869"/>
      <c r="F1" s="869"/>
      <c r="G1" s="869"/>
      <c r="H1" s="869"/>
      <c r="I1" s="869"/>
      <c r="J1" s="869"/>
      <c r="K1" s="869"/>
      <c r="L1" s="869"/>
      <c r="M1" s="869"/>
    </row>
    <row r="2" spans="1:38">
      <c r="A2" s="869"/>
      <c r="B2" s="869"/>
      <c r="C2" s="869"/>
      <c r="D2" s="869"/>
      <c r="E2" s="869"/>
      <c r="F2" s="869"/>
      <c r="G2" s="869"/>
      <c r="H2" s="869"/>
      <c r="I2" s="869"/>
      <c r="J2" s="869"/>
      <c r="K2" s="869"/>
      <c r="L2" s="869"/>
      <c r="M2" s="869"/>
    </row>
    <row r="4" spans="1:38" ht="8.1" customHeight="1">
      <c r="A4" s="869" t="s">
        <v>3172</v>
      </c>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550"/>
      <c r="AL4" s="550"/>
    </row>
    <row r="5" spans="1:38" ht="8.1" customHeight="1">
      <c r="A5" s="869"/>
      <c r="B5" s="869"/>
      <c r="C5" s="869"/>
      <c r="D5" s="869"/>
      <c r="E5" s="869"/>
      <c r="F5" s="869"/>
      <c r="G5" s="869"/>
      <c r="H5" s="869"/>
      <c r="I5" s="869"/>
      <c r="J5" s="869"/>
      <c r="K5" s="869"/>
      <c r="L5" s="869"/>
      <c r="M5" s="869"/>
      <c r="N5" s="869"/>
      <c r="O5" s="869"/>
      <c r="P5" s="869"/>
      <c r="Q5" s="869"/>
      <c r="R5" s="869"/>
      <c r="S5" s="869"/>
      <c r="T5" s="869"/>
      <c r="U5" s="869"/>
      <c r="V5" s="869"/>
      <c r="W5" s="869"/>
      <c r="X5" s="869"/>
      <c r="Y5" s="869"/>
      <c r="Z5" s="869"/>
      <c r="AA5" s="869"/>
      <c r="AB5" s="869"/>
      <c r="AC5" s="869"/>
      <c r="AD5" s="869"/>
      <c r="AE5" s="869"/>
      <c r="AF5" s="869"/>
      <c r="AG5" s="869"/>
      <c r="AH5" s="869"/>
      <c r="AI5" s="869"/>
      <c r="AJ5" s="869"/>
      <c r="AK5" s="550"/>
      <c r="AL5" s="550"/>
    </row>
    <row r="6" spans="1:38" ht="8.1" customHeight="1">
      <c r="A6" s="869" t="s">
        <v>21</v>
      </c>
      <c r="B6" s="869"/>
      <c r="C6" s="869"/>
      <c r="D6" s="869"/>
      <c r="E6" s="869"/>
      <c r="F6" s="869"/>
      <c r="G6" s="869"/>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550"/>
      <c r="AL6" s="550"/>
    </row>
    <row r="7" spans="1:38" ht="8.1" customHeight="1">
      <c r="A7" s="869"/>
      <c r="B7" s="869"/>
      <c r="C7" s="869"/>
      <c r="D7" s="869"/>
      <c r="E7" s="869"/>
      <c r="F7" s="869"/>
      <c r="G7" s="869"/>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550"/>
      <c r="AL7" s="550"/>
    </row>
    <row r="8" spans="1:38" ht="8.1" customHeight="1">
      <c r="A8" s="869" t="s">
        <v>3045</v>
      </c>
      <c r="B8" s="869"/>
      <c r="C8" s="869"/>
      <c r="D8" s="869"/>
      <c r="E8" s="869"/>
      <c r="F8" s="869"/>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c r="AI8" s="869"/>
      <c r="AJ8" s="869"/>
      <c r="AK8" s="550"/>
      <c r="AL8" s="550"/>
    </row>
    <row r="9" spans="1:38" ht="8.1" customHeight="1">
      <c r="A9" s="869"/>
      <c r="B9" s="869"/>
      <c r="C9" s="869"/>
      <c r="D9" s="869"/>
      <c r="E9" s="869"/>
      <c r="F9" s="869"/>
      <c r="G9" s="869"/>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550"/>
      <c r="AL9" s="550"/>
    </row>
    <row r="10" spans="1:38">
      <c r="Y10" s="879" t="str">
        <f ca="1">IF(wskakunin_SHINSEI_DATE="",TEXT(TODAY(),"ggg"),wskakunin_SHINSEI_DATE)</f>
        <v>令和</v>
      </c>
      <c r="Z10" s="880"/>
      <c r="AA10" s="882" t="str">
        <f>cst_wskakunin_SHINSEI_DATE</f>
        <v/>
      </c>
      <c r="AB10" s="883"/>
      <c r="AC10" s="869" t="s">
        <v>3046</v>
      </c>
      <c r="AD10" s="885" t="str">
        <f>cst_wskakunin_SHINSEI_DATE</f>
        <v/>
      </c>
      <c r="AE10" s="885"/>
      <c r="AF10" s="869" t="s">
        <v>3047</v>
      </c>
      <c r="AG10" s="887" t="str">
        <f>cst_wskakunin_SHINSEI_DATE</f>
        <v/>
      </c>
      <c r="AH10" s="887"/>
      <c r="AI10" s="869" t="s">
        <v>3048</v>
      </c>
    </row>
    <row r="11" spans="1:38">
      <c r="Y11" s="881"/>
      <c r="Z11" s="881"/>
      <c r="AA11" s="884"/>
      <c r="AB11" s="884"/>
      <c r="AC11" s="869"/>
      <c r="AD11" s="886"/>
      <c r="AE11" s="886"/>
      <c r="AF11" s="869"/>
      <c r="AG11" s="888"/>
      <c r="AH11" s="888"/>
      <c r="AI11" s="869"/>
    </row>
    <row r="12" spans="1:38">
      <c r="A12" s="870" t="s">
        <v>3049</v>
      </c>
      <c r="B12" s="870"/>
      <c r="C12" s="870"/>
      <c r="D12" s="870"/>
      <c r="E12" s="870"/>
      <c r="F12" s="870"/>
      <c r="G12" s="870"/>
      <c r="H12" s="870"/>
      <c r="I12" s="870"/>
      <c r="J12" s="870"/>
      <c r="K12" s="870"/>
      <c r="L12" s="870"/>
      <c r="M12" s="869" t="s">
        <v>3050</v>
      </c>
      <c r="N12" s="869"/>
      <c r="O12" s="869"/>
      <c r="P12" s="869"/>
    </row>
    <row r="13" spans="1:38">
      <c r="A13" s="871"/>
      <c r="B13" s="871"/>
      <c r="C13" s="871"/>
      <c r="D13" s="871"/>
      <c r="E13" s="871"/>
      <c r="F13" s="871"/>
      <c r="G13" s="871"/>
      <c r="H13" s="871"/>
      <c r="I13" s="871"/>
      <c r="J13" s="871"/>
      <c r="K13" s="871"/>
      <c r="L13" s="871"/>
      <c r="M13" s="869"/>
      <c r="N13" s="869"/>
      <c r="O13" s="869"/>
      <c r="P13" s="869"/>
    </row>
    <row r="14" spans="1:38" ht="3.75" customHeight="1">
      <c r="D14" s="872"/>
      <c r="E14" s="872"/>
      <c r="F14" s="872"/>
      <c r="G14" s="872"/>
      <c r="H14" s="872"/>
    </row>
    <row r="15" spans="1:38" ht="18" customHeight="1">
      <c r="A15" s="873" t="s">
        <v>3173</v>
      </c>
      <c r="B15" s="874"/>
      <c r="C15" s="874"/>
      <c r="D15" s="874"/>
      <c r="E15" s="874"/>
      <c r="F15" s="874"/>
      <c r="G15" s="874"/>
      <c r="H15" s="874"/>
      <c r="I15" s="874"/>
      <c r="J15" s="874"/>
      <c r="K15" s="874"/>
      <c r="L15" s="874"/>
      <c r="M15" s="874"/>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38"/>
      <c r="AL15" s="739"/>
    </row>
    <row r="16" spans="1:38" ht="20.100000000000001" customHeight="1">
      <c r="A16" s="553"/>
      <c r="B16" s="554"/>
      <c r="C16" s="554"/>
      <c r="D16" s="875" t="s">
        <v>247</v>
      </c>
      <c r="E16" s="875"/>
      <c r="F16" s="875"/>
      <c r="G16" s="875"/>
      <c r="H16" s="875"/>
      <c r="I16" s="876" t="str">
        <f>cst_wskakunin_owner1__space3</f>
        <v/>
      </c>
      <c r="J16" s="877"/>
      <c r="K16" s="877"/>
      <c r="L16" s="877"/>
      <c r="M16" s="877"/>
      <c r="N16" s="877"/>
      <c r="O16" s="877"/>
      <c r="P16" s="877"/>
      <c r="Q16" s="877"/>
      <c r="R16" s="877"/>
      <c r="S16" s="877"/>
      <c r="T16" s="877"/>
      <c r="U16" s="877"/>
      <c r="V16" s="877"/>
      <c r="W16" s="877"/>
      <c r="X16" s="877"/>
      <c r="Y16" s="877"/>
      <c r="Z16" s="877"/>
      <c r="AA16" s="877"/>
      <c r="AB16" s="877"/>
      <c r="AC16" s="877"/>
      <c r="AD16" s="877"/>
      <c r="AE16" s="877"/>
      <c r="AF16" s="877"/>
      <c r="AG16" s="877"/>
      <c r="AH16" s="877"/>
      <c r="AI16" s="877"/>
      <c r="AJ16" s="878"/>
      <c r="AK16" s="554"/>
      <c r="AL16" s="555"/>
    </row>
    <row r="17" spans="1:38" ht="20.100000000000001" customHeight="1">
      <c r="A17" s="553"/>
      <c r="B17" s="554"/>
      <c r="C17" s="554"/>
      <c r="D17" s="875" t="s">
        <v>257</v>
      </c>
      <c r="E17" s="875"/>
      <c r="F17" s="875"/>
      <c r="G17" s="875"/>
      <c r="H17" s="875"/>
      <c r="I17" s="876" t="str">
        <f>cst_wskakunin_owner1_ZIP</f>
        <v/>
      </c>
      <c r="J17" s="895"/>
      <c r="K17" s="895"/>
      <c r="L17" s="895"/>
      <c r="M17" s="895"/>
      <c r="N17" s="895"/>
      <c r="O17" s="895"/>
      <c r="P17" s="895"/>
      <c r="Q17" s="895"/>
      <c r="R17" s="895"/>
      <c r="S17" s="895"/>
      <c r="T17" s="896"/>
      <c r="U17" s="556"/>
      <c r="V17" s="556"/>
      <c r="W17" s="556"/>
      <c r="X17" s="556"/>
      <c r="Y17" s="556"/>
      <c r="Z17" s="556"/>
      <c r="AA17" s="556"/>
      <c r="AB17" s="556"/>
      <c r="AC17" s="556"/>
      <c r="AD17" s="556"/>
      <c r="AE17" s="556"/>
      <c r="AF17" s="556"/>
      <c r="AG17" s="556"/>
      <c r="AH17" s="554"/>
      <c r="AI17" s="554"/>
      <c r="AJ17" s="554"/>
      <c r="AK17" s="554"/>
      <c r="AL17" s="555"/>
    </row>
    <row r="18" spans="1:38" ht="20.100000000000001" customHeight="1">
      <c r="A18" s="553"/>
      <c r="B18" s="554"/>
      <c r="C18" s="554"/>
      <c r="D18" s="875" t="s">
        <v>261</v>
      </c>
      <c r="E18" s="875"/>
      <c r="F18" s="875"/>
      <c r="G18" s="875"/>
      <c r="H18" s="875"/>
      <c r="I18" s="876" t="str">
        <f>cst_wskakunin_owner1__address</f>
        <v/>
      </c>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8"/>
      <c r="AK18" s="554"/>
      <c r="AL18" s="555"/>
    </row>
    <row r="19" spans="1:38" ht="20.100000000000001" customHeight="1">
      <c r="A19" s="553"/>
      <c r="B19" s="554"/>
      <c r="C19" s="554"/>
      <c r="D19" s="875" t="s">
        <v>264</v>
      </c>
      <c r="E19" s="875"/>
      <c r="F19" s="875"/>
      <c r="G19" s="875"/>
      <c r="H19" s="875"/>
      <c r="I19" s="897" t="str">
        <f>cst_wskakunin_owner1_TEL</f>
        <v/>
      </c>
      <c r="J19" s="898"/>
      <c r="K19" s="898"/>
      <c r="L19" s="898"/>
      <c r="M19" s="898"/>
      <c r="N19" s="899"/>
      <c r="O19" s="899"/>
      <c r="P19" s="899"/>
      <c r="Q19" s="899"/>
      <c r="R19" s="899"/>
      <c r="S19" s="899"/>
      <c r="T19" s="899"/>
      <c r="U19" s="899"/>
      <c r="V19" s="899"/>
      <c r="W19" s="899"/>
      <c r="X19" s="899"/>
      <c r="Y19" s="899"/>
      <c r="Z19" s="900"/>
      <c r="AA19" s="556"/>
      <c r="AB19" s="556"/>
      <c r="AC19" s="556"/>
      <c r="AD19" s="556"/>
      <c r="AE19" s="556"/>
      <c r="AF19" s="556"/>
      <c r="AG19" s="556"/>
      <c r="AH19" s="554"/>
      <c r="AI19" s="554"/>
      <c r="AJ19" s="554"/>
      <c r="AK19" s="554"/>
      <c r="AL19" s="555"/>
    </row>
    <row r="20" spans="1:38" ht="3.75" customHeight="1">
      <c r="A20" s="553"/>
      <c r="B20" s="554"/>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5"/>
    </row>
    <row r="21" spans="1:38" ht="18" customHeight="1">
      <c r="A21" s="553" t="s">
        <v>3174</v>
      </c>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5"/>
    </row>
    <row r="22" spans="1:38" ht="20.100000000000001" customHeight="1">
      <c r="A22" s="553"/>
      <c r="B22" s="554"/>
      <c r="C22" s="554"/>
      <c r="D22" s="875" t="s">
        <v>247</v>
      </c>
      <c r="E22" s="875"/>
      <c r="F22" s="875"/>
      <c r="G22" s="875"/>
      <c r="H22" s="875"/>
      <c r="I22" s="876" t="str">
        <f>cst_wskakunin_sekou1_NAME</f>
        <v/>
      </c>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8"/>
      <c r="AK22" s="554"/>
      <c r="AL22" s="555"/>
    </row>
    <row r="23" spans="1:38" ht="20.100000000000001" customHeight="1">
      <c r="A23" s="553"/>
      <c r="B23" s="554"/>
      <c r="C23" s="554"/>
      <c r="D23" s="889" t="s">
        <v>3052</v>
      </c>
      <c r="E23" s="890"/>
      <c r="F23" s="890"/>
      <c r="G23" s="890"/>
      <c r="H23" s="890"/>
      <c r="I23" s="891"/>
      <c r="J23" s="891"/>
      <c r="K23" s="891"/>
      <c r="L23" s="891"/>
      <c r="M23" s="891"/>
      <c r="N23" s="891"/>
      <c r="O23" s="892"/>
      <c r="P23" s="876" t="str">
        <f>cst_wskakunin_sekou1_JIMU_NAME</f>
        <v/>
      </c>
      <c r="Q23" s="877"/>
      <c r="R23" s="877"/>
      <c r="S23" s="877"/>
      <c r="T23" s="877"/>
      <c r="U23" s="877"/>
      <c r="V23" s="877"/>
      <c r="W23" s="877"/>
      <c r="X23" s="877"/>
      <c r="Y23" s="877"/>
      <c r="Z23" s="877"/>
      <c r="AA23" s="877"/>
      <c r="AB23" s="877"/>
      <c r="AC23" s="877"/>
      <c r="AD23" s="877"/>
      <c r="AE23" s="877"/>
      <c r="AF23" s="877"/>
      <c r="AG23" s="877"/>
      <c r="AH23" s="877"/>
      <c r="AI23" s="877"/>
      <c r="AJ23" s="878"/>
      <c r="AK23" s="554"/>
      <c r="AL23" s="555"/>
    </row>
    <row r="24" spans="1:38" ht="20.100000000000001" customHeight="1">
      <c r="A24" s="553"/>
      <c r="B24" s="554"/>
      <c r="C24" s="554"/>
      <c r="D24" s="875" t="s">
        <v>257</v>
      </c>
      <c r="E24" s="875"/>
      <c r="F24" s="875"/>
      <c r="G24" s="875"/>
      <c r="H24" s="875"/>
      <c r="I24" s="876" t="str">
        <f>cst_wskakunin_sekou1_ZIP</f>
        <v/>
      </c>
      <c r="J24" s="877"/>
      <c r="K24" s="877"/>
      <c r="L24" s="877"/>
      <c r="M24" s="877"/>
      <c r="N24" s="893"/>
      <c r="O24" s="893"/>
      <c r="P24" s="893"/>
      <c r="Q24" s="893"/>
      <c r="R24" s="893"/>
      <c r="S24" s="893"/>
      <c r="T24" s="894"/>
      <c r="U24" s="556"/>
      <c r="V24" s="556"/>
      <c r="W24" s="556"/>
      <c r="X24" s="556"/>
      <c r="Y24" s="556"/>
      <c r="Z24" s="556"/>
      <c r="AA24" s="556"/>
      <c r="AB24" s="556"/>
      <c r="AC24" s="556"/>
      <c r="AD24" s="556"/>
      <c r="AE24" s="556"/>
      <c r="AF24" s="556"/>
      <c r="AG24" s="556"/>
      <c r="AH24" s="554"/>
      <c r="AI24" s="554"/>
      <c r="AJ24" s="554"/>
      <c r="AK24" s="554"/>
      <c r="AL24" s="555"/>
    </row>
    <row r="25" spans="1:38" ht="20.100000000000001" customHeight="1">
      <c r="A25" s="553"/>
      <c r="B25" s="554"/>
      <c r="C25" s="554"/>
      <c r="D25" s="875" t="s">
        <v>469</v>
      </c>
      <c r="E25" s="875"/>
      <c r="F25" s="875"/>
      <c r="G25" s="875"/>
      <c r="H25" s="875"/>
      <c r="I25" s="876" t="str">
        <f>cst_wskakunin_sekou1__address</f>
        <v/>
      </c>
      <c r="J25" s="877"/>
      <c r="K25" s="877"/>
      <c r="L25" s="877"/>
      <c r="M25" s="877"/>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8"/>
      <c r="AK25" s="554"/>
      <c r="AL25" s="555"/>
    </row>
    <row r="26" spans="1:38" ht="20.100000000000001" customHeight="1">
      <c r="A26" s="553"/>
      <c r="B26" s="554"/>
      <c r="C26" s="554"/>
      <c r="D26" s="875" t="s">
        <v>264</v>
      </c>
      <c r="E26" s="875"/>
      <c r="F26" s="875"/>
      <c r="G26" s="875"/>
      <c r="H26" s="875"/>
      <c r="I26" s="897" t="str">
        <f>cst_wskakunin_sekou1_TEL</f>
        <v/>
      </c>
      <c r="J26" s="898"/>
      <c r="K26" s="898"/>
      <c r="L26" s="898"/>
      <c r="M26" s="898"/>
      <c r="N26" s="905"/>
      <c r="O26" s="905"/>
      <c r="P26" s="905"/>
      <c r="Q26" s="905"/>
      <c r="R26" s="905"/>
      <c r="S26" s="905"/>
      <c r="T26" s="905"/>
      <c r="U26" s="905"/>
      <c r="V26" s="905"/>
      <c r="W26" s="905"/>
      <c r="X26" s="905"/>
      <c r="Y26" s="905"/>
      <c r="Z26" s="906"/>
      <c r="AA26" s="559"/>
      <c r="AB26" s="556"/>
      <c r="AC26" s="556"/>
      <c r="AD26" s="556"/>
      <c r="AE26" s="556"/>
      <c r="AF26" s="556"/>
      <c r="AG26" s="556"/>
      <c r="AH26" s="554"/>
      <c r="AI26" s="554"/>
      <c r="AJ26" s="554"/>
      <c r="AK26" s="554"/>
      <c r="AL26" s="555"/>
    </row>
    <row r="27" spans="1:38" ht="20.100000000000001" customHeight="1">
      <c r="A27" s="553"/>
      <c r="B27" s="554"/>
      <c r="C27" s="554"/>
      <c r="D27" s="889" t="s">
        <v>3175</v>
      </c>
      <c r="E27" s="890"/>
      <c r="F27" s="890"/>
      <c r="G27" s="890"/>
      <c r="H27" s="890"/>
      <c r="I27" s="890"/>
      <c r="J27" s="890"/>
      <c r="K27" s="907"/>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9"/>
      <c r="AK27" s="554"/>
      <c r="AL27" s="555"/>
    </row>
    <row r="28" spans="1:38" ht="20.100000000000001" customHeight="1">
      <c r="A28" s="553"/>
      <c r="B28" s="554"/>
      <c r="C28" s="554"/>
      <c r="D28" s="889" t="s">
        <v>3176</v>
      </c>
      <c r="E28" s="890"/>
      <c r="F28" s="890"/>
      <c r="G28" s="890"/>
      <c r="H28" s="890"/>
      <c r="I28" s="890"/>
      <c r="J28" s="901"/>
      <c r="K28" s="902"/>
      <c r="L28" s="903"/>
      <c r="M28" s="903"/>
      <c r="N28" s="903"/>
      <c r="O28" s="903"/>
      <c r="P28" s="562" t="s">
        <v>3177</v>
      </c>
      <c r="Q28" s="903"/>
      <c r="R28" s="903"/>
      <c r="S28" s="903"/>
      <c r="T28" s="903"/>
      <c r="U28" s="903"/>
      <c r="V28" s="562" t="s">
        <v>3177</v>
      </c>
      <c r="W28" s="903"/>
      <c r="X28" s="903"/>
      <c r="Y28" s="903"/>
      <c r="Z28" s="903"/>
      <c r="AA28" s="903"/>
      <c r="AB28" s="904"/>
      <c r="AC28" s="563"/>
      <c r="AD28" s="563"/>
      <c r="AE28" s="563"/>
      <c r="AF28" s="563"/>
      <c r="AG28" s="563"/>
      <c r="AH28" s="563"/>
      <c r="AI28" s="563"/>
      <c r="AJ28" s="563"/>
      <c r="AK28" s="554"/>
      <c r="AL28" s="555"/>
    </row>
    <row r="29" spans="1:38" ht="3.75" customHeight="1">
      <c r="A29" s="553"/>
      <c r="B29" s="554"/>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5"/>
    </row>
    <row r="30" spans="1:38" ht="18" customHeight="1">
      <c r="A30" s="553" t="s">
        <v>3178</v>
      </c>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5"/>
    </row>
    <row r="31" spans="1:38" ht="20.100000000000001" customHeight="1">
      <c r="A31" s="553"/>
      <c r="B31" s="554"/>
      <c r="C31" s="554"/>
      <c r="D31" s="875" t="s">
        <v>247</v>
      </c>
      <c r="E31" s="875"/>
      <c r="F31" s="875"/>
      <c r="G31" s="875"/>
      <c r="H31" s="875"/>
      <c r="I31" s="876" t="str">
        <f>cst_wskakunin_kanri1_NAME</f>
        <v/>
      </c>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8"/>
      <c r="AK31" s="554"/>
      <c r="AL31" s="555"/>
    </row>
    <row r="32" spans="1:38" ht="20.100000000000001" customHeight="1">
      <c r="A32" s="553"/>
      <c r="B32" s="554"/>
      <c r="C32" s="554"/>
      <c r="D32" s="889" t="s">
        <v>3052</v>
      </c>
      <c r="E32" s="890"/>
      <c r="F32" s="890"/>
      <c r="G32" s="890"/>
      <c r="H32" s="890"/>
      <c r="I32" s="890"/>
      <c r="J32" s="890"/>
      <c r="K32" s="890"/>
      <c r="L32" s="890"/>
      <c r="M32" s="890"/>
      <c r="N32" s="890"/>
      <c r="O32" s="901"/>
      <c r="P32" s="876" t="str">
        <f>cst_wskakunin_kanri1_JIMU_NAME</f>
        <v/>
      </c>
      <c r="Q32" s="877"/>
      <c r="R32" s="877"/>
      <c r="S32" s="877"/>
      <c r="T32" s="877"/>
      <c r="U32" s="877"/>
      <c r="V32" s="877"/>
      <c r="W32" s="877"/>
      <c r="X32" s="877"/>
      <c r="Y32" s="877"/>
      <c r="Z32" s="877"/>
      <c r="AA32" s="877"/>
      <c r="AB32" s="877"/>
      <c r="AC32" s="877"/>
      <c r="AD32" s="877"/>
      <c r="AE32" s="877"/>
      <c r="AF32" s="877"/>
      <c r="AG32" s="877"/>
      <c r="AH32" s="877"/>
      <c r="AI32" s="877"/>
      <c r="AJ32" s="878"/>
      <c r="AK32" s="554"/>
      <c r="AL32" s="555"/>
    </row>
    <row r="33" spans="1:38" ht="20.100000000000001" customHeight="1">
      <c r="A33" s="553"/>
      <c r="B33" s="554"/>
      <c r="C33" s="554"/>
      <c r="D33" s="875" t="s">
        <v>257</v>
      </c>
      <c r="E33" s="875"/>
      <c r="F33" s="875"/>
      <c r="G33" s="875"/>
      <c r="H33" s="875"/>
      <c r="I33" s="876" t="str">
        <f>cst_wskakunin_kanri1_ZIP</f>
        <v/>
      </c>
      <c r="J33" s="877"/>
      <c r="K33" s="877"/>
      <c r="L33" s="877"/>
      <c r="M33" s="877"/>
      <c r="N33" s="893"/>
      <c r="O33" s="893"/>
      <c r="P33" s="893"/>
      <c r="Q33" s="893"/>
      <c r="R33" s="893"/>
      <c r="S33" s="893"/>
      <c r="T33" s="894"/>
      <c r="U33" s="556"/>
      <c r="V33" s="556"/>
      <c r="W33" s="556"/>
      <c r="X33" s="556"/>
      <c r="Y33" s="556"/>
      <c r="Z33" s="556"/>
      <c r="AA33" s="556"/>
      <c r="AB33" s="556"/>
      <c r="AC33" s="556"/>
      <c r="AD33" s="556"/>
      <c r="AE33" s="556"/>
      <c r="AF33" s="556"/>
      <c r="AG33" s="556"/>
      <c r="AH33" s="554"/>
      <c r="AI33" s="554"/>
      <c r="AJ33" s="554"/>
      <c r="AK33" s="554"/>
      <c r="AL33" s="555"/>
    </row>
    <row r="34" spans="1:38" ht="20.100000000000001" customHeight="1">
      <c r="A34" s="553"/>
      <c r="B34" s="554"/>
      <c r="C34" s="554"/>
      <c r="D34" s="889" t="s">
        <v>469</v>
      </c>
      <c r="E34" s="890"/>
      <c r="F34" s="890"/>
      <c r="G34" s="890"/>
      <c r="H34" s="901"/>
      <c r="I34" s="876" t="str">
        <f>cst_wskakunin_kanri1__address</f>
        <v/>
      </c>
      <c r="J34" s="877"/>
      <c r="K34" s="877"/>
      <c r="L34" s="877"/>
      <c r="M34" s="877"/>
      <c r="N34" s="877"/>
      <c r="O34" s="877"/>
      <c r="P34" s="877"/>
      <c r="Q34" s="877"/>
      <c r="R34" s="877"/>
      <c r="S34" s="877"/>
      <c r="T34" s="877"/>
      <c r="U34" s="877"/>
      <c r="V34" s="877"/>
      <c r="W34" s="877"/>
      <c r="X34" s="877"/>
      <c r="Y34" s="877"/>
      <c r="Z34" s="877"/>
      <c r="AA34" s="877"/>
      <c r="AB34" s="877"/>
      <c r="AC34" s="877"/>
      <c r="AD34" s="877"/>
      <c r="AE34" s="877"/>
      <c r="AF34" s="877"/>
      <c r="AG34" s="877"/>
      <c r="AH34" s="877"/>
      <c r="AI34" s="877"/>
      <c r="AJ34" s="878"/>
      <c r="AK34" s="554"/>
      <c r="AL34" s="555"/>
    </row>
    <row r="35" spans="1:38" ht="20.100000000000001" customHeight="1">
      <c r="A35" s="553"/>
      <c r="B35" s="554"/>
      <c r="C35" s="554"/>
      <c r="D35" s="875" t="s">
        <v>264</v>
      </c>
      <c r="E35" s="875"/>
      <c r="F35" s="875"/>
      <c r="G35" s="875"/>
      <c r="H35" s="875"/>
      <c r="I35" s="897" t="str">
        <f>cst_wskakunin_kanri1_TEL</f>
        <v/>
      </c>
      <c r="J35" s="898"/>
      <c r="K35" s="898"/>
      <c r="L35" s="898"/>
      <c r="M35" s="898"/>
      <c r="N35" s="905"/>
      <c r="O35" s="905"/>
      <c r="P35" s="905"/>
      <c r="Q35" s="905"/>
      <c r="R35" s="905"/>
      <c r="S35" s="905"/>
      <c r="T35" s="905"/>
      <c r="U35" s="905"/>
      <c r="V35" s="905"/>
      <c r="W35" s="905"/>
      <c r="X35" s="905"/>
      <c r="Y35" s="905"/>
      <c r="Z35" s="906"/>
      <c r="AA35" s="556"/>
      <c r="AB35" s="556"/>
      <c r="AC35" s="556"/>
      <c r="AD35" s="556"/>
      <c r="AE35" s="556"/>
      <c r="AF35" s="556"/>
      <c r="AG35" s="556"/>
      <c r="AH35" s="554"/>
      <c r="AI35" s="554"/>
      <c r="AJ35" s="554"/>
      <c r="AK35" s="554"/>
      <c r="AL35" s="555"/>
    </row>
    <row r="36" spans="1:38" ht="3.75" customHeight="1">
      <c r="A36" s="553"/>
      <c r="B36" s="554"/>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5"/>
    </row>
    <row r="37" spans="1:38" ht="18" customHeight="1">
      <c r="A37" s="910" t="s">
        <v>3179</v>
      </c>
      <c r="B37" s="872"/>
      <c r="C37" s="872"/>
      <c r="D37" s="872"/>
      <c r="E37" s="872"/>
      <c r="F37" s="872"/>
      <c r="G37" s="872"/>
      <c r="H37" s="872"/>
      <c r="I37" s="872"/>
      <c r="J37" s="872"/>
      <c r="K37" s="872"/>
      <c r="L37" s="872"/>
      <c r="M37" s="872"/>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5"/>
    </row>
    <row r="38" spans="1:38" ht="24.6" customHeight="1">
      <c r="A38" s="553"/>
      <c r="B38" s="554"/>
      <c r="C38" s="555"/>
      <c r="D38" s="889" t="s">
        <v>165</v>
      </c>
      <c r="E38" s="890"/>
      <c r="F38" s="890"/>
      <c r="G38" s="890"/>
      <c r="H38" s="890"/>
      <c r="I38" s="890"/>
      <c r="J38" s="890"/>
      <c r="K38" s="901"/>
      <c r="L38" s="911"/>
      <c r="M38" s="912"/>
      <c r="N38" s="912"/>
      <c r="O38" s="912" t="s">
        <v>2947</v>
      </c>
      <c r="P38" s="912"/>
      <c r="Q38" s="913" t="s">
        <v>3056</v>
      </c>
      <c r="R38" s="913"/>
      <c r="S38" s="913"/>
      <c r="T38" s="913"/>
      <c r="U38" s="913"/>
      <c r="V38" s="913"/>
      <c r="W38" s="913"/>
      <c r="X38" s="913"/>
      <c r="Y38" s="913"/>
      <c r="Z38" s="913"/>
      <c r="AA38" s="913"/>
      <c r="AB38" s="913"/>
      <c r="AC38" s="913"/>
      <c r="AD38" s="912" t="s">
        <v>2849</v>
      </c>
      <c r="AE38" s="917"/>
      <c r="AF38" s="554"/>
      <c r="AG38" s="554"/>
      <c r="AH38" s="554"/>
      <c r="AI38" s="554"/>
      <c r="AJ38" s="554"/>
      <c r="AK38" s="554"/>
      <c r="AL38" s="555"/>
    </row>
    <row r="39" spans="1:38" ht="20.100000000000001" customHeight="1">
      <c r="A39" s="553"/>
      <c r="B39" s="554"/>
      <c r="C39" s="555"/>
      <c r="D39" s="918" t="s">
        <v>3057</v>
      </c>
      <c r="E39" s="919"/>
      <c r="F39" s="919"/>
      <c r="G39" s="919"/>
      <c r="H39" s="919"/>
      <c r="I39" s="919"/>
      <c r="J39" s="919"/>
      <c r="K39" s="920"/>
      <c r="L39" s="921"/>
      <c r="M39" s="922"/>
      <c r="N39" s="923" t="str">
        <f>cst_shinsei_ISSUE_DATE</f>
        <v/>
      </c>
      <c r="O39" s="924"/>
      <c r="P39" s="924"/>
      <c r="Q39" s="924"/>
      <c r="R39" s="554"/>
      <c r="S39" s="925" t="str">
        <f>cst_shinsei_ISSUE_DATE</f>
        <v/>
      </c>
      <c r="T39" s="925"/>
      <c r="U39" s="925"/>
      <c r="V39" s="925"/>
      <c r="W39" s="554"/>
      <c r="X39" s="926" t="str">
        <f>cst_shinsei_ISSUE_DATE</f>
        <v/>
      </c>
      <c r="Y39" s="926"/>
      <c r="Z39" s="926"/>
      <c r="AA39" s="926"/>
      <c r="AB39" s="554"/>
      <c r="AC39" s="566"/>
      <c r="AD39" s="566"/>
      <c r="AE39" s="567"/>
      <c r="AF39" s="554"/>
      <c r="AG39" s="554"/>
      <c r="AH39" s="554"/>
      <c r="AI39" s="554"/>
      <c r="AJ39" s="554"/>
      <c r="AK39" s="554"/>
      <c r="AL39" s="555"/>
    </row>
    <row r="40" spans="1:38" ht="20.100000000000001" customHeight="1">
      <c r="A40" s="553"/>
      <c r="B40" s="554"/>
      <c r="C40" s="555"/>
      <c r="D40" s="889" t="s">
        <v>191</v>
      </c>
      <c r="E40" s="890"/>
      <c r="F40" s="890"/>
      <c r="G40" s="890"/>
      <c r="H40" s="890"/>
      <c r="I40" s="890"/>
      <c r="J40" s="890"/>
      <c r="K40" s="901"/>
      <c r="L40" s="876" t="str">
        <f ca="1">cst_Pre_Corp__SHINSEI&amp;" "&amp;cst_Pre_Daihyou__SHINSEI</f>
        <v>株式会社愛知建築センター 代表取締役　鳥居　敏夫</v>
      </c>
      <c r="M40" s="877"/>
      <c r="N40" s="877"/>
      <c r="O40" s="877"/>
      <c r="P40" s="877"/>
      <c r="Q40" s="877"/>
      <c r="R40" s="877"/>
      <c r="S40" s="877"/>
      <c r="T40" s="877"/>
      <c r="U40" s="877"/>
      <c r="V40" s="877"/>
      <c r="W40" s="877"/>
      <c r="X40" s="877"/>
      <c r="Y40" s="877"/>
      <c r="Z40" s="877"/>
      <c r="AA40" s="877"/>
      <c r="AB40" s="877"/>
      <c r="AC40" s="877"/>
      <c r="AD40" s="877"/>
      <c r="AE40" s="878"/>
      <c r="AF40" s="556"/>
      <c r="AG40" s="556"/>
      <c r="AH40" s="554"/>
      <c r="AI40" s="554"/>
      <c r="AJ40" s="554"/>
      <c r="AK40" s="554"/>
      <c r="AL40" s="555"/>
    </row>
    <row r="41" spans="1:38" ht="3.75" customHeight="1">
      <c r="A41" s="553"/>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5"/>
    </row>
    <row r="42" spans="1:38" ht="18" customHeight="1">
      <c r="A42" s="910" t="s">
        <v>3180</v>
      </c>
      <c r="B42" s="872"/>
      <c r="C42" s="872"/>
      <c r="D42" s="872"/>
      <c r="E42" s="872"/>
      <c r="F42" s="872"/>
      <c r="G42" s="872"/>
      <c r="H42" s="872"/>
      <c r="I42" s="872"/>
      <c r="J42" s="872"/>
      <c r="K42" s="872"/>
      <c r="L42" s="872"/>
      <c r="M42" s="872"/>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5"/>
    </row>
    <row r="43" spans="1:38" ht="20.100000000000001" customHeight="1">
      <c r="A43" s="553"/>
      <c r="B43" s="554"/>
      <c r="C43" s="554"/>
      <c r="D43" s="875" t="s">
        <v>247</v>
      </c>
      <c r="E43" s="875"/>
      <c r="F43" s="875"/>
      <c r="G43" s="875"/>
      <c r="H43" s="875"/>
      <c r="I43" s="914"/>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6"/>
      <c r="AK43" s="554"/>
      <c r="AL43" s="555"/>
    </row>
    <row r="44" spans="1:38" ht="20.100000000000001" customHeight="1">
      <c r="A44" s="553"/>
      <c r="B44" s="554"/>
      <c r="C44" s="554"/>
      <c r="D44" s="875" t="s">
        <v>1503</v>
      </c>
      <c r="E44" s="875"/>
      <c r="F44" s="875"/>
      <c r="G44" s="875"/>
      <c r="H44" s="875"/>
      <c r="I44" s="914"/>
      <c r="J44" s="915"/>
      <c r="K44" s="915"/>
      <c r="L44" s="915"/>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6"/>
      <c r="AK44" s="554"/>
      <c r="AL44" s="555"/>
    </row>
    <row r="45" spans="1:38" ht="20.100000000000001" customHeight="1">
      <c r="A45" s="553"/>
      <c r="B45" s="554"/>
      <c r="C45" s="554"/>
      <c r="D45" s="875" t="s">
        <v>257</v>
      </c>
      <c r="E45" s="875"/>
      <c r="F45" s="875"/>
      <c r="G45" s="875"/>
      <c r="H45" s="875"/>
      <c r="I45" s="930"/>
      <c r="J45" s="931"/>
      <c r="K45" s="931"/>
      <c r="L45" s="931"/>
      <c r="M45" s="931"/>
      <c r="N45" s="740" t="s">
        <v>3177</v>
      </c>
      <c r="O45" s="931"/>
      <c r="P45" s="931"/>
      <c r="Q45" s="931"/>
      <c r="R45" s="931"/>
      <c r="S45" s="931"/>
      <c r="T45" s="932"/>
      <c r="U45" s="556"/>
      <c r="V45" s="556"/>
      <c r="W45" s="556"/>
      <c r="X45" s="556"/>
      <c r="Y45" s="556"/>
      <c r="Z45" s="556"/>
      <c r="AA45" s="556"/>
      <c r="AB45" s="556"/>
      <c r="AC45" s="556"/>
      <c r="AD45" s="556"/>
      <c r="AE45" s="556"/>
      <c r="AF45" s="556"/>
      <c r="AG45" s="556"/>
      <c r="AH45" s="554"/>
      <c r="AI45" s="554"/>
      <c r="AJ45" s="554"/>
      <c r="AK45" s="554"/>
      <c r="AL45" s="555"/>
    </row>
    <row r="46" spans="1:38" ht="20.100000000000001" customHeight="1">
      <c r="A46" s="553"/>
      <c r="B46" s="554"/>
      <c r="C46" s="554"/>
      <c r="D46" s="875" t="s">
        <v>469</v>
      </c>
      <c r="E46" s="875"/>
      <c r="F46" s="875"/>
      <c r="G46" s="875"/>
      <c r="H46" s="875"/>
      <c r="I46" s="914"/>
      <c r="J46" s="915"/>
      <c r="K46" s="915"/>
      <c r="L46" s="915"/>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6"/>
      <c r="AK46" s="554"/>
      <c r="AL46" s="555"/>
    </row>
    <row r="47" spans="1:38" ht="20.100000000000001" customHeight="1">
      <c r="A47" s="553"/>
      <c r="B47" s="554"/>
      <c r="C47" s="554"/>
      <c r="D47" s="875" t="s">
        <v>264</v>
      </c>
      <c r="E47" s="875"/>
      <c r="F47" s="875"/>
      <c r="G47" s="875"/>
      <c r="H47" s="875"/>
      <c r="I47" s="902"/>
      <c r="J47" s="903"/>
      <c r="K47" s="903"/>
      <c r="L47" s="903"/>
      <c r="M47" s="903"/>
      <c r="N47" s="561" t="s">
        <v>3177</v>
      </c>
      <c r="O47" s="933"/>
      <c r="P47" s="933"/>
      <c r="Q47" s="933"/>
      <c r="R47" s="933"/>
      <c r="S47" s="933"/>
      <c r="T47" s="561" t="s">
        <v>3177</v>
      </c>
      <c r="U47" s="933"/>
      <c r="V47" s="933"/>
      <c r="W47" s="933"/>
      <c r="X47" s="933"/>
      <c r="Y47" s="933"/>
      <c r="Z47" s="934"/>
      <c r="AA47" s="556"/>
      <c r="AB47" s="556"/>
      <c r="AC47" s="556"/>
      <c r="AD47" s="556"/>
      <c r="AE47" s="556"/>
      <c r="AF47" s="556"/>
      <c r="AG47" s="556"/>
      <c r="AH47" s="554"/>
      <c r="AI47" s="554"/>
      <c r="AJ47" s="554"/>
      <c r="AK47" s="554"/>
      <c r="AL47" s="555"/>
    </row>
    <row r="48" spans="1:38" ht="20.100000000000001" customHeight="1">
      <c r="A48" s="553"/>
      <c r="B48" s="554"/>
      <c r="C48" s="554"/>
      <c r="D48" s="889" t="s">
        <v>3175</v>
      </c>
      <c r="E48" s="890"/>
      <c r="F48" s="890"/>
      <c r="G48" s="890"/>
      <c r="H48" s="890"/>
      <c r="I48" s="890"/>
      <c r="J48" s="890"/>
      <c r="K48" s="927"/>
      <c r="L48" s="928"/>
      <c r="M48" s="928"/>
      <c r="N48" s="928"/>
      <c r="O48" s="928"/>
      <c r="P48" s="928"/>
      <c r="Q48" s="928"/>
      <c r="R48" s="928"/>
      <c r="S48" s="928"/>
      <c r="T48" s="928"/>
      <c r="U48" s="928"/>
      <c r="V48" s="928"/>
      <c r="W48" s="928"/>
      <c r="X48" s="928"/>
      <c r="Y48" s="928"/>
      <c r="Z48" s="928"/>
      <c r="AA48" s="928"/>
      <c r="AB48" s="928"/>
      <c r="AC48" s="928"/>
      <c r="AD48" s="928"/>
      <c r="AE48" s="928"/>
      <c r="AF48" s="928"/>
      <c r="AG48" s="928"/>
      <c r="AH48" s="928"/>
      <c r="AI48" s="928"/>
      <c r="AJ48" s="929"/>
      <c r="AK48" s="554"/>
      <c r="AL48" s="555"/>
    </row>
    <row r="49" spans="1:38" ht="20.100000000000001" customHeight="1">
      <c r="A49" s="553"/>
      <c r="B49" s="554"/>
      <c r="C49" s="554"/>
      <c r="D49" s="889" t="s">
        <v>3176</v>
      </c>
      <c r="E49" s="890"/>
      <c r="F49" s="890"/>
      <c r="G49" s="890"/>
      <c r="H49" s="890"/>
      <c r="I49" s="890"/>
      <c r="J49" s="901"/>
      <c r="K49" s="902"/>
      <c r="L49" s="903"/>
      <c r="M49" s="903"/>
      <c r="N49" s="903"/>
      <c r="O49" s="903"/>
      <c r="P49" s="561" t="s">
        <v>3177</v>
      </c>
      <c r="Q49" s="903"/>
      <c r="R49" s="903"/>
      <c r="S49" s="903"/>
      <c r="T49" s="903"/>
      <c r="U49" s="903"/>
      <c r="V49" s="561" t="s">
        <v>3177</v>
      </c>
      <c r="W49" s="903"/>
      <c r="X49" s="903"/>
      <c r="Y49" s="903"/>
      <c r="Z49" s="903"/>
      <c r="AA49" s="903"/>
      <c r="AB49" s="904"/>
      <c r="AC49" s="563"/>
      <c r="AD49" s="563"/>
      <c r="AE49" s="563"/>
      <c r="AF49" s="563"/>
      <c r="AG49" s="563"/>
      <c r="AH49" s="563"/>
      <c r="AI49" s="563"/>
      <c r="AJ49" s="563"/>
      <c r="AK49" s="554"/>
      <c r="AL49" s="555"/>
    </row>
    <row r="50" spans="1:38" ht="5.25" customHeight="1">
      <c r="A50" s="568"/>
      <c r="B50" s="569"/>
      <c r="C50" s="569"/>
      <c r="D50" s="569"/>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69"/>
      <c r="AJ50" s="569"/>
      <c r="AK50" s="569"/>
      <c r="AL50" s="570"/>
    </row>
    <row r="51" spans="1:38" ht="5.25" customHeight="1">
      <c r="A51" s="554"/>
      <c r="B51" s="554"/>
      <c r="C51" s="554"/>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row>
    <row r="52" spans="1:38" ht="15" customHeight="1">
      <c r="A52" s="872" t="s">
        <v>3181</v>
      </c>
      <c r="B52" s="872"/>
      <c r="C52" s="872"/>
      <c r="D52" s="872"/>
      <c r="E52" s="872"/>
      <c r="F52" s="872"/>
      <c r="G52" s="872"/>
      <c r="H52" s="872"/>
      <c r="I52" s="872"/>
      <c r="J52" s="872"/>
      <c r="K52" s="872"/>
      <c r="L52" s="872"/>
      <c r="M52" s="872"/>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row>
    <row r="53" spans="1:38" ht="15" customHeight="1">
      <c r="A53" s="937"/>
      <c r="B53" s="937"/>
      <c r="C53" s="937"/>
      <c r="D53" s="937"/>
      <c r="E53" s="937"/>
      <c r="F53" s="937"/>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563"/>
      <c r="AL53" s="563"/>
    </row>
    <row r="54" spans="1:38" ht="15" customHeight="1">
      <c r="A54" s="937"/>
      <c r="B54" s="937"/>
      <c r="C54" s="937"/>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563"/>
      <c r="AL54" s="563"/>
    </row>
    <row r="55" spans="1:38" ht="15" customHeight="1">
      <c r="A55" s="937"/>
      <c r="B55" s="937"/>
      <c r="C55" s="937"/>
      <c r="D55" s="937"/>
      <c r="E55" s="937"/>
      <c r="F55" s="937"/>
      <c r="G55" s="937"/>
      <c r="H55" s="937"/>
      <c r="I55" s="937"/>
      <c r="J55" s="937"/>
      <c r="K55" s="937"/>
      <c r="L55" s="937"/>
      <c r="M55" s="937"/>
      <c r="N55" s="937"/>
      <c r="O55" s="937"/>
      <c r="P55" s="937"/>
      <c r="Q55" s="937"/>
      <c r="R55" s="937"/>
      <c r="S55" s="937"/>
      <c r="T55" s="937"/>
      <c r="U55" s="937"/>
      <c r="V55" s="937"/>
      <c r="W55" s="937"/>
      <c r="X55" s="937"/>
      <c r="Y55" s="937"/>
      <c r="Z55" s="937"/>
      <c r="AA55" s="937"/>
      <c r="AB55" s="937"/>
      <c r="AC55" s="937"/>
      <c r="AD55" s="937"/>
      <c r="AE55" s="937"/>
      <c r="AF55" s="937"/>
      <c r="AG55" s="937"/>
      <c r="AH55" s="937"/>
      <c r="AI55" s="937"/>
      <c r="AJ55" s="937"/>
      <c r="AK55" s="563"/>
      <c r="AL55" s="563"/>
    </row>
    <row r="56" spans="1:38" ht="15" customHeight="1">
      <c r="A56" s="938" t="s">
        <v>3060</v>
      </c>
      <c r="B56" s="938"/>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571"/>
      <c r="AL56" s="571"/>
    </row>
    <row r="57" spans="1:38" ht="3.95" customHeight="1">
      <c r="A57" s="572"/>
      <c r="B57" s="572"/>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1"/>
      <c r="AL57" s="571"/>
    </row>
    <row r="58" spans="1:38" ht="3.95" customHeight="1">
      <c r="A58" s="573"/>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742"/>
    </row>
    <row r="59" spans="1:38" ht="18" customHeight="1">
      <c r="A59" s="910" t="s">
        <v>3182</v>
      </c>
      <c r="B59" s="872"/>
      <c r="C59" s="872"/>
      <c r="D59" s="872"/>
      <c r="E59" s="872"/>
      <c r="F59" s="872"/>
      <c r="G59" s="872"/>
      <c r="H59" s="872"/>
      <c r="I59" s="872"/>
      <c r="J59" s="872"/>
      <c r="K59" s="872"/>
      <c r="L59" s="872"/>
      <c r="M59" s="872"/>
      <c r="N59" s="872"/>
      <c r="O59" s="872"/>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5"/>
    </row>
    <row r="60" spans="1:38" ht="23.1" customHeight="1">
      <c r="A60" s="553"/>
      <c r="B60" s="889" t="s">
        <v>3183</v>
      </c>
      <c r="C60" s="890"/>
      <c r="D60" s="890"/>
      <c r="E60" s="890"/>
      <c r="F60" s="890"/>
      <c r="G60" s="890"/>
      <c r="H60" s="890"/>
      <c r="I60" s="890"/>
      <c r="J60" s="574"/>
      <c r="K60" s="935" t="str">
        <f ca="1">IF(wskakunin_KOUJI_TYAKUSYU_YOTEI_DATE="",TEXT(TODAY(),"ggg"),wskakunin_KOUJI_TYAKUSYU_YOTEI_DATE)</f>
        <v>令和</v>
      </c>
      <c r="L60" s="922"/>
      <c r="M60" s="923" t="str">
        <f>cst_wskakunin_KOUJI_TYAKUSYU_YOTEI_DATE</f>
        <v/>
      </c>
      <c r="N60" s="936"/>
      <c r="O60" s="936"/>
      <c r="P60" s="566" t="s">
        <v>3046</v>
      </c>
      <c r="Q60" s="925" t="str">
        <f>cst_wskakunin_KOUJI_TYAKUSYU_YOTEI_DATE</f>
        <v/>
      </c>
      <c r="R60" s="925"/>
      <c r="S60" s="925"/>
      <c r="T60" s="566" t="s">
        <v>3047</v>
      </c>
      <c r="U60" s="926" t="str">
        <f>cst_wskakunin_KOUJI_TYAKUSYU_YOTEI_DATE</f>
        <v/>
      </c>
      <c r="V60" s="926"/>
      <c r="W60" s="926"/>
      <c r="X60" s="566" t="s">
        <v>3048</v>
      </c>
      <c r="Y60" s="567"/>
      <c r="Z60" s="554"/>
      <c r="AA60" s="554"/>
      <c r="AB60" s="554"/>
      <c r="AC60" s="554"/>
      <c r="AD60" s="554"/>
      <c r="AE60" s="554"/>
      <c r="AF60" s="554"/>
      <c r="AG60" s="554"/>
      <c r="AH60" s="554"/>
      <c r="AI60" s="554"/>
      <c r="AJ60" s="554"/>
      <c r="AK60" s="554"/>
      <c r="AL60" s="555"/>
    </row>
    <row r="61" spans="1:38" ht="23.1" customHeight="1">
      <c r="A61" s="553"/>
      <c r="B61" s="918" t="s">
        <v>3184</v>
      </c>
      <c r="C61" s="919"/>
      <c r="D61" s="919"/>
      <c r="E61" s="919"/>
      <c r="F61" s="919"/>
      <c r="G61" s="919"/>
      <c r="H61" s="919"/>
      <c r="I61" s="919"/>
      <c r="J61" s="575"/>
      <c r="K61" s="935" t="str">
        <f ca="1">IF(wskakunin_KOUJI_KANRYOU_YOTEI_DATE="",TEXT(TODAY(),"ggg"),wskakunin_KOUJI_KANRYOU_YOTEI_DATE)</f>
        <v>令和</v>
      </c>
      <c r="L61" s="922"/>
      <c r="M61" s="923" t="str">
        <f>cst_wskakunin_KOUJI_KANRYOU_YOTEI_DATE</f>
        <v/>
      </c>
      <c r="N61" s="936"/>
      <c r="O61" s="936"/>
      <c r="P61" s="566" t="s">
        <v>3046</v>
      </c>
      <c r="Q61" s="925" t="str">
        <f>cst_wskakunin_KOUJI_KANRYOU_YOTEI_DATE</f>
        <v/>
      </c>
      <c r="R61" s="925"/>
      <c r="S61" s="925"/>
      <c r="T61" s="566" t="s">
        <v>3047</v>
      </c>
      <c r="U61" s="926" t="str">
        <f>cst_wskakunin_KOUJI_KANRYOU_YOTEI_DATE</f>
        <v/>
      </c>
      <c r="V61" s="926"/>
      <c r="W61" s="926"/>
      <c r="X61" s="566" t="s">
        <v>3048</v>
      </c>
      <c r="Y61" s="567"/>
      <c r="Z61" s="554"/>
      <c r="AA61" s="554"/>
      <c r="AB61" s="554"/>
      <c r="AC61" s="554"/>
      <c r="AD61" s="554"/>
      <c r="AE61" s="554"/>
      <c r="AF61" s="554"/>
      <c r="AG61" s="554"/>
      <c r="AH61" s="554"/>
      <c r="AI61" s="554"/>
      <c r="AJ61" s="554"/>
      <c r="AK61" s="554"/>
      <c r="AL61" s="555"/>
    </row>
    <row r="62" spans="1:38" ht="3.95" customHeight="1">
      <c r="A62" s="553"/>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5"/>
    </row>
    <row r="63" spans="1:38" ht="3.95" customHeight="1">
      <c r="A63" s="553"/>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5"/>
    </row>
    <row r="64" spans="1:38" ht="18" customHeight="1">
      <c r="A64" s="910" t="s">
        <v>3185</v>
      </c>
      <c r="B64" s="872"/>
      <c r="C64" s="872"/>
      <c r="D64" s="872"/>
      <c r="E64" s="872"/>
      <c r="F64" s="872"/>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5"/>
    </row>
    <row r="65" spans="1:58" ht="17.45" customHeight="1">
      <c r="A65" s="553"/>
      <c r="B65" s="873" t="s">
        <v>3186</v>
      </c>
      <c r="C65" s="874"/>
      <c r="D65" s="874"/>
      <c r="E65" s="874"/>
      <c r="F65" s="874"/>
      <c r="G65" s="874"/>
      <c r="H65" s="874"/>
      <c r="I65" s="949"/>
      <c r="J65" s="576" t="s">
        <v>2832</v>
      </c>
      <c r="K65" s="738" t="s">
        <v>3187</v>
      </c>
      <c r="L65" s="743"/>
      <c r="M65" s="738"/>
      <c r="N65" s="738"/>
      <c r="O65" s="738"/>
      <c r="P65" s="738"/>
      <c r="Q65" s="738"/>
      <c r="R65" s="744" t="s">
        <v>2832</v>
      </c>
      <c r="S65" s="738" t="s">
        <v>3188</v>
      </c>
      <c r="T65" s="743"/>
      <c r="U65" s="738"/>
      <c r="V65" s="738"/>
      <c r="W65" s="738"/>
      <c r="X65" s="738"/>
      <c r="Y65" s="738"/>
      <c r="Z65" s="743"/>
      <c r="AA65" s="738"/>
      <c r="AB65" s="744" t="s">
        <v>2832</v>
      </c>
      <c r="AC65" s="738" t="s">
        <v>3189</v>
      </c>
      <c r="AD65" s="743"/>
      <c r="AE65" s="738"/>
      <c r="AF65" s="738"/>
      <c r="AG65" s="738"/>
      <c r="AH65" s="738"/>
      <c r="AI65" s="738"/>
      <c r="AJ65" s="739"/>
      <c r="AK65" s="554"/>
      <c r="AL65" s="555"/>
    </row>
    <row r="66" spans="1:58" ht="17.45" customHeight="1">
      <c r="A66" s="553"/>
      <c r="B66" s="939"/>
      <c r="C66" s="891"/>
      <c r="D66" s="891"/>
      <c r="E66" s="891"/>
      <c r="F66" s="891"/>
      <c r="G66" s="891"/>
      <c r="H66" s="891"/>
      <c r="I66" s="892"/>
      <c r="J66" s="578" t="s">
        <v>2832</v>
      </c>
      <c r="K66" s="569" t="s">
        <v>3190</v>
      </c>
      <c r="L66" s="579"/>
      <c r="M66" s="569"/>
      <c r="N66" s="569"/>
      <c r="O66" s="569"/>
      <c r="P66" s="569"/>
      <c r="Q66" s="569"/>
      <c r="R66" s="580" t="s">
        <v>2832</v>
      </c>
      <c r="S66" s="569" t="s">
        <v>3191</v>
      </c>
      <c r="T66" s="579"/>
      <c r="U66" s="581"/>
      <c r="V66" s="581"/>
      <c r="W66" s="581"/>
      <c r="X66" s="581"/>
      <c r="Y66" s="569"/>
      <c r="Z66" s="579"/>
      <c r="AA66" s="569"/>
      <c r="AB66" s="580" t="s">
        <v>2832</v>
      </c>
      <c r="AC66" s="569" t="s">
        <v>3192</v>
      </c>
      <c r="AD66" s="579"/>
      <c r="AE66" s="569"/>
      <c r="AF66" s="569"/>
      <c r="AG66" s="569"/>
      <c r="AH66" s="569"/>
      <c r="AI66" s="569"/>
      <c r="AJ66" s="570"/>
      <c r="AK66" s="554"/>
      <c r="AL66" s="555"/>
    </row>
    <row r="67" spans="1:58" ht="17.45" customHeight="1">
      <c r="A67" s="553"/>
      <c r="B67" s="950" t="s">
        <v>3193</v>
      </c>
      <c r="C67" s="951"/>
      <c r="D67" s="951"/>
      <c r="E67" s="951"/>
      <c r="F67" s="951"/>
      <c r="G67" s="951"/>
      <c r="H67" s="951"/>
      <c r="I67" s="952"/>
      <c r="J67" s="576" t="s">
        <v>2832</v>
      </c>
      <c r="K67" s="738" t="s">
        <v>3073</v>
      </c>
      <c r="L67" s="743"/>
      <c r="M67" s="582"/>
      <c r="N67" s="738"/>
      <c r="O67" s="738"/>
      <c r="P67" s="738"/>
      <c r="Q67" s="738"/>
      <c r="R67" s="738"/>
      <c r="T67" s="738"/>
      <c r="U67" s="744" t="s">
        <v>2832</v>
      </c>
      <c r="V67" s="738" t="s">
        <v>3074</v>
      </c>
      <c r="X67" s="743"/>
      <c r="Y67" s="738"/>
      <c r="Z67" s="738"/>
      <c r="AA67" s="738"/>
      <c r="AB67" s="738"/>
      <c r="AC67" s="738"/>
      <c r="AD67" s="738"/>
      <c r="AE67" s="738"/>
      <c r="AF67" s="738"/>
      <c r="AG67" s="738"/>
      <c r="AH67" s="738"/>
      <c r="AI67" s="738"/>
      <c r="AJ67" s="739"/>
      <c r="AK67" s="554"/>
      <c r="AL67" s="555"/>
      <c r="AO67" s="554"/>
      <c r="AP67" s="554"/>
      <c r="AQ67" s="554"/>
      <c r="AR67" s="554"/>
      <c r="AS67" s="554"/>
      <c r="AT67" s="554"/>
      <c r="AU67" s="554"/>
      <c r="AV67" s="554"/>
      <c r="AW67" s="554"/>
      <c r="AX67" s="554"/>
      <c r="AY67" s="554"/>
      <c r="AZ67" s="554"/>
      <c r="BA67" s="554"/>
      <c r="BB67" s="554"/>
      <c r="BC67" s="554"/>
      <c r="BD67" s="554"/>
      <c r="BE67" s="554"/>
      <c r="BF67" s="554"/>
    </row>
    <row r="68" spans="1:58" ht="17.45" customHeight="1">
      <c r="A68" s="553"/>
      <c r="B68" s="953"/>
      <c r="C68" s="954"/>
      <c r="D68" s="954"/>
      <c r="E68" s="954"/>
      <c r="F68" s="954"/>
      <c r="G68" s="954"/>
      <c r="H68" s="954"/>
      <c r="I68" s="955"/>
      <c r="J68" s="578" t="s">
        <v>2832</v>
      </c>
      <c r="K68" s="569" t="s">
        <v>3075</v>
      </c>
      <c r="L68" s="579"/>
      <c r="M68" s="568"/>
      <c r="N68" s="569"/>
      <c r="O68" s="579"/>
      <c r="P68" s="569"/>
      <c r="Q68" s="569"/>
      <c r="R68" s="569"/>
      <c r="S68" s="569"/>
      <c r="T68" s="569"/>
      <c r="U68" s="580" t="s">
        <v>2832</v>
      </c>
      <c r="V68" s="569" t="s">
        <v>3076</v>
      </c>
      <c r="W68" s="569"/>
      <c r="X68" s="569"/>
      <c r="Y68" s="569"/>
      <c r="Z68" s="569"/>
      <c r="AA68" s="569"/>
      <c r="AB68" s="569"/>
      <c r="AC68" s="569"/>
      <c r="AD68" s="569"/>
      <c r="AE68" s="580" t="s">
        <v>2832</v>
      </c>
      <c r="AF68" s="569" t="s">
        <v>3077</v>
      </c>
      <c r="AG68" s="579"/>
      <c r="AH68" s="569"/>
      <c r="AI68" s="569"/>
      <c r="AJ68" s="570"/>
      <c r="AK68" s="554"/>
      <c r="AL68" s="555"/>
      <c r="AO68" s="554"/>
      <c r="AP68" s="554"/>
      <c r="AQ68" s="554"/>
      <c r="AR68" s="554"/>
      <c r="AS68" s="554"/>
      <c r="AT68" s="554"/>
      <c r="AU68" s="554"/>
      <c r="AV68" s="554"/>
      <c r="AW68" s="554"/>
      <c r="AX68" s="554"/>
      <c r="AY68" s="554"/>
      <c r="AZ68" s="554"/>
      <c r="BA68" s="554"/>
      <c r="BB68" s="554"/>
      <c r="BC68" s="554"/>
      <c r="BD68" s="554"/>
      <c r="BE68" s="554"/>
      <c r="BF68" s="554"/>
    </row>
    <row r="69" spans="1:58" ht="2.25" customHeight="1">
      <c r="A69" s="553"/>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5"/>
    </row>
    <row r="70" spans="1:58" ht="1.5" customHeight="1">
      <c r="A70" s="553"/>
      <c r="B70" s="554"/>
      <c r="C70" s="554"/>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5"/>
    </row>
    <row r="71" spans="1:58" ht="18" customHeight="1">
      <c r="A71" s="553" t="s">
        <v>3194</v>
      </c>
      <c r="B71" s="554"/>
      <c r="C71" s="554"/>
      <c r="D71" s="554"/>
      <c r="E71" s="554"/>
      <c r="F71" s="554"/>
      <c r="G71" s="554"/>
      <c r="H71" s="554"/>
      <c r="I71" s="938"/>
      <c r="J71" s="938"/>
      <c r="K71" s="938"/>
      <c r="L71" s="938"/>
      <c r="M71" s="938"/>
      <c r="N71" s="938"/>
      <c r="O71" s="554"/>
      <c r="P71" s="554"/>
      <c r="Q71" s="554"/>
      <c r="R71" s="938"/>
      <c r="S71" s="938"/>
      <c r="T71" s="938"/>
      <c r="U71" s="938"/>
      <c r="V71" s="938"/>
      <c r="W71" s="938"/>
      <c r="X71" s="554"/>
      <c r="Y71" s="554"/>
      <c r="Z71" s="554"/>
      <c r="AA71" s="554"/>
      <c r="AB71" s="554"/>
      <c r="AC71" s="554"/>
      <c r="AD71" s="554"/>
      <c r="AE71" s="554"/>
      <c r="AF71" s="554"/>
      <c r="AG71" s="554"/>
      <c r="AH71" s="554"/>
      <c r="AI71" s="554"/>
      <c r="AJ71" s="554"/>
      <c r="AK71" s="554"/>
      <c r="AL71" s="555"/>
    </row>
    <row r="72" spans="1:58" ht="39" customHeight="1">
      <c r="A72" s="553"/>
      <c r="B72" s="889" t="s">
        <v>3195</v>
      </c>
      <c r="C72" s="890"/>
      <c r="D72" s="890"/>
      <c r="E72" s="890"/>
      <c r="F72" s="890"/>
      <c r="G72" s="890"/>
      <c r="H72" s="890"/>
      <c r="I72" s="901"/>
      <c r="J72" s="956" t="str">
        <f>cst_wskakunin_BUILD__address</f>
        <v/>
      </c>
      <c r="K72" s="957"/>
      <c r="L72" s="957"/>
      <c r="M72" s="957"/>
      <c r="N72" s="957"/>
      <c r="O72" s="958"/>
      <c r="P72" s="958"/>
      <c r="Q72" s="958"/>
      <c r="R72" s="958"/>
      <c r="S72" s="958"/>
      <c r="T72" s="958"/>
      <c r="U72" s="958"/>
      <c r="V72" s="958"/>
      <c r="W72" s="958"/>
      <c r="X72" s="958"/>
      <c r="Y72" s="958"/>
      <c r="Z72" s="958"/>
      <c r="AA72" s="958"/>
      <c r="AB72" s="958"/>
      <c r="AC72" s="958"/>
      <c r="AD72" s="958"/>
      <c r="AE72" s="958"/>
      <c r="AF72" s="958"/>
      <c r="AG72" s="958"/>
      <c r="AH72" s="958"/>
      <c r="AI72" s="958"/>
      <c r="AJ72" s="959"/>
      <c r="AK72" s="554"/>
      <c r="AL72" s="555"/>
    </row>
    <row r="73" spans="1:58" ht="17.45" customHeight="1">
      <c r="A73" s="553"/>
      <c r="B73" s="873" t="s">
        <v>3196</v>
      </c>
      <c r="C73" s="874"/>
      <c r="D73" s="874"/>
      <c r="E73" s="874"/>
      <c r="F73" s="874"/>
      <c r="G73" s="874"/>
      <c r="H73" s="874"/>
      <c r="I73" s="874"/>
      <c r="J73" s="584" t="str">
        <f>IF(cst_wskakunin_KUIKI_SIGAIKA="■","☑","□")</f>
        <v>□</v>
      </c>
      <c r="K73" s="737" t="s">
        <v>3197</v>
      </c>
      <c r="L73" s="737"/>
      <c r="M73" s="737"/>
      <c r="N73" s="737"/>
      <c r="O73" s="737"/>
      <c r="P73" s="737"/>
      <c r="Q73" s="738"/>
      <c r="R73" s="738"/>
      <c r="T73" s="737"/>
      <c r="U73" s="737"/>
      <c r="V73" s="737"/>
      <c r="W73" s="737"/>
      <c r="X73" s="737"/>
      <c r="Y73" s="737"/>
      <c r="Z73" s="745" t="str">
        <f>IF(cst_wskakunin_KUIKI_TYOSEI="■","☑","□")</f>
        <v>□</v>
      </c>
      <c r="AA73" s="737" t="s">
        <v>3198</v>
      </c>
      <c r="AB73" s="738"/>
      <c r="AC73" s="738"/>
      <c r="AD73" s="738"/>
      <c r="AE73" s="738"/>
      <c r="AF73" s="738"/>
      <c r="AG73" s="743"/>
      <c r="AH73" s="738"/>
      <c r="AI73" s="738"/>
      <c r="AJ73" s="739"/>
      <c r="AK73" s="554"/>
      <c r="AL73" s="555"/>
    </row>
    <row r="74" spans="1:58" ht="17.45" customHeight="1">
      <c r="A74" s="553"/>
      <c r="B74" s="910"/>
      <c r="C74" s="872"/>
      <c r="D74" s="872"/>
      <c r="E74" s="872"/>
      <c r="F74" s="872"/>
      <c r="G74" s="872"/>
      <c r="H74" s="872"/>
      <c r="I74" s="872"/>
      <c r="J74" s="585" t="str">
        <f>IF(cst_wskakunin_KUIKI_HISETTEI="■","☑","□")</f>
        <v>□</v>
      </c>
      <c r="K74" s="554" t="s">
        <v>3199</v>
      </c>
      <c r="L74" s="554"/>
      <c r="M74" s="554"/>
      <c r="O74" s="554"/>
      <c r="P74" s="554"/>
      <c r="Q74" s="554"/>
      <c r="R74" s="554"/>
      <c r="S74" s="554"/>
      <c r="T74" s="554"/>
      <c r="U74" s="554"/>
      <c r="V74" s="554"/>
      <c r="W74" s="554"/>
      <c r="X74" s="554"/>
      <c r="Z74" s="586" t="str">
        <f>IF(cst_wskakunin_KUIKI_JYUN_TOSHI="■","☑","□")</f>
        <v>□</v>
      </c>
      <c r="AA74" s="552" t="s">
        <v>3200</v>
      </c>
      <c r="AB74" s="552"/>
      <c r="AC74" s="552"/>
      <c r="AD74" s="552"/>
      <c r="AE74" s="552"/>
      <c r="AF74" s="552"/>
      <c r="AH74" s="554"/>
      <c r="AI74" s="554"/>
      <c r="AJ74" s="555"/>
      <c r="AK74" s="554"/>
      <c r="AL74" s="555"/>
    </row>
    <row r="75" spans="1:58" ht="17.45" customHeight="1">
      <c r="A75" s="553"/>
      <c r="B75" s="939"/>
      <c r="C75" s="891"/>
      <c r="D75" s="891"/>
      <c r="E75" s="891"/>
      <c r="F75" s="891"/>
      <c r="G75" s="891"/>
      <c r="H75" s="891"/>
      <c r="I75" s="891"/>
      <c r="J75" s="587" t="str">
        <f>IF(cst_wskakunin_KUIKI_KUIKIGAI="■","☑","□")</f>
        <v>□</v>
      </c>
      <c r="K75" s="558" t="s">
        <v>3201</v>
      </c>
      <c r="L75" s="558"/>
      <c r="M75" s="558"/>
      <c r="N75" s="558"/>
      <c r="O75" s="558"/>
      <c r="P75" s="558"/>
      <c r="Q75" s="558"/>
      <c r="R75" s="558"/>
      <c r="S75" s="558"/>
      <c r="T75" s="558"/>
      <c r="U75" s="558"/>
      <c r="V75" s="558"/>
      <c r="W75" s="558"/>
      <c r="X75" s="558"/>
      <c r="Y75" s="558"/>
      <c r="Z75" s="558"/>
      <c r="AA75" s="558"/>
      <c r="AB75" s="558"/>
      <c r="AC75" s="558"/>
      <c r="AD75" s="569"/>
      <c r="AE75" s="569"/>
      <c r="AF75" s="569"/>
      <c r="AG75" s="579"/>
      <c r="AH75" s="569"/>
      <c r="AI75" s="569"/>
      <c r="AJ75" s="570"/>
      <c r="AK75" s="554"/>
      <c r="AL75" s="555"/>
    </row>
    <row r="76" spans="1:58" ht="3.95" customHeight="1">
      <c r="A76" s="553"/>
      <c r="B76" s="554"/>
      <c r="C76" s="554"/>
      <c r="D76" s="554"/>
      <c r="E76" s="554"/>
      <c r="F76" s="554"/>
      <c r="G76" s="554"/>
      <c r="H76" s="554"/>
      <c r="I76" s="554"/>
      <c r="J76" s="554"/>
      <c r="K76" s="554"/>
      <c r="L76" s="554"/>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5"/>
    </row>
    <row r="77" spans="1:58" ht="3.95" customHeight="1">
      <c r="A77" s="553"/>
      <c r="B77" s="554"/>
      <c r="C77" s="554"/>
      <c r="D77" s="55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5"/>
    </row>
    <row r="78" spans="1:58" ht="17.45" customHeight="1">
      <c r="A78" s="553" t="s">
        <v>3202</v>
      </c>
      <c r="B78" s="554"/>
      <c r="C78" s="554"/>
      <c r="D78" s="554"/>
      <c r="E78" s="554"/>
      <c r="F78" s="554"/>
      <c r="G78" s="554"/>
      <c r="H78" s="554"/>
      <c r="I78" s="588"/>
      <c r="J78" s="589" t="str">
        <f>IF(cst_wskakunin_KOUJI_SINTIKU_box="■","☑","□")</f>
        <v>□</v>
      </c>
      <c r="K78" s="557" t="s">
        <v>3203</v>
      </c>
      <c r="L78" s="557"/>
      <c r="M78" s="557"/>
      <c r="N78" s="557"/>
      <c r="O78" s="590" t="str">
        <f>IF(cst_wskakunin_KOUJI_ZOUTIKU_box="■","☑","□")</f>
        <v>□</v>
      </c>
      <c r="P78" s="557" t="s">
        <v>3204</v>
      </c>
      <c r="Q78" s="557"/>
      <c r="R78" s="557"/>
      <c r="S78" s="557"/>
      <c r="T78" s="590" t="str">
        <f>IF(cst_wskakunin_KOUJI_KAITIKU_box="■","☑","□")</f>
        <v>□</v>
      </c>
      <c r="U78" s="557" t="s">
        <v>3205</v>
      </c>
      <c r="V78" s="557"/>
      <c r="W78" s="557"/>
      <c r="X78" s="557"/>
      <c r="Y78" s="590" t="str">
        <f>IF(cst_wskakunin_KOUJI_ITEN_box="■","☑","□")</f>
        <v>□</v>
      </c>
      <c r="Z78" s="557" t="s">
        <v>3206</v>
      </c>
      <c r="AA78" s="557"/>
      <c r="AB78" s="557"/>
      <c r="AC78" s="557"/>
      <c r="AD78" s="567"/>
      <c r="AE78" s="554"/>
      <c r="AF78" s="554"/>
      <c r="AL78" s="588"/>
    </row>
    <row r="79" spans="1:58" ht="3.95" customHeight="1">
      <c r="A79" s="553"/>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5"/>
    </row>
    <row r="80" spans="1:58" ht="3.6" customHeight="1">
      <c r="A80" s="553"/>
      <c r="B80" s="554"/>
      <c r="C80" s="554"/>
      <c r="D80" s="554"/>
      <c r="E80" s="554"/>
      <c r="F80" s="554"/>
      <c r="G80" s="554"/>
      <c r="H80" s="554"/>
      <c r="I80" s="554"/>
      <c r="J80" s="554"/>
      <c r="K80" s="554"/>
      <c r="L80" s="554"/>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4"/>
      <c r="AJ80" s="554"/>
      <c r="AK80" s="554"/>
      <c r="AL80" s="555"/>
    </row>
    <row r="81" spans="1:38" ht="23.1" customHeight="1">
      <c r="A81" s="910" t="s">
        <v>3207</v>
      </c>
      <c r="B81" s="872"/>
      <c r="C81" s="872"/>
      <c r="D81" s="872"/>
      <c r="E81" s="872"/>
      <c r="F81" s="872"/>
      <c r="G81" s="872"/>
      <c r="H81" s="872"/>
      <c r="I81" s="940"/>
      <c r="J81" s="941"/>
      <c r="K81" s="942"/>
      <c r="L81" s="942"/>
      <c r="M81" s="942"/>
      <c r="N81" s="942"/>
      <c r="O81" s="942"/>
      <c r="P81" s="942"/>
      <c r="Q81" s="942"/>
      <c r="R81" s="943"/>
      <c r="S81" s="554" t="s">
        <v>3208</v>
      </c>
      <c r="T81" s="554"/>
      <c r="U81" s="554"/>
      <c r="V81" s="554"/>
      <c r="W81" s="554"/>
      <c r="X81" s="554"/>
      <c r="Y81" s="554"/>
      <c r="Z81" s="554"/>
      <c r="AA81" s="554"/>
      <c r="AB81" s="554"/>
      <c r="AC81" s="554"/>
      <c r="AD81" s="554"/>
      <c r="AE81" s="554"/>
      <c r="AF81" s="554"/>
      <c r="AG81" s="554"/>
      <c r="AH81" s="554"/>
      <c r="AI81" s="554"/>
      <c r="AJ81" s="554"/>
      <c r="AK81" s="554"/>
      <c r="AL81" s="555"/>
    </row>
    <row r="82" spans="1:38" ht="5.0999999999999996" customHeight="1">
      <c r="A82" s="553"/>
      <c r="B82" s="554"/>
      <c r="C82" s="554"/>
      <c r="D82" s="554"/>
      <c r="E82" s="554"/>
      <c r="F82" s="554"/>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554"/>
      <c r="AL82" s="555"/>
    </row>
    <row r="83" spans="1:38" ht="18" customHeight="1">
      <c r="A83" s="910" t="s">
        <v>3209</v>
      </c>
      <c r="B83" s="872"/>
      <c r="C83" s="872"/>
      <c r="D83" s="872"/>
      <c r="E83" s="872"/>
      <c r="F83" s="872"/>
      <c r="G83" s="872"/>
      <c r="H83" s="872"/>
      <c r="I83" s="872"/>
      <c r="J83" s="872"/>
      <c r="K83" s="872"/>
      <c r="L83" s="554"/>
      <c r="M83" s="554"/>
      <c r="N83" s="554"/>
      <c r="O83" s="554"/>
      <c r="P83" s="554"/>
      <c r="Q83" s="554"/>
      <c r="R83" s="554"/>
      <c r="S83" s="554"/>
      <c r="T83" s="554"/>
      <c r="U83" s="554"/>
      <c r="V83" s="554"/>
      <c r="W83" s="554"/>
      <c r="X83" s="554"/>
      <c r="Y83" s="554"/>
      <c r="Z83" s="554"/>
      <c r="AA83" s="554"/>
      <c r="AB83" s="554"/>
      <c r="AC83" s="554"/>
      <c r="AD83" s="554"/>
      <c r="AE83" s="554"/>
      <c r="AF83" s="554"/>
      <c r="AG83" s="554"/>
      <c r="AH83" s="554"/>
      <c r="AI83" s="554"/>
      <c r="AJ83" s="554"/>
      <c r="AK83" s="554"/>
      <c r="AL83" s="555"/>
    </row>
    <row r="84" spans="1:38" ht="23.1" customHeight="1">
      <c r="A84" s="553"/>
      <c r="B84" s="944" t="s">
        <v>3210</v>
      </c>
      <c r="C84" s="945"/>
      <c r="D84" s="945"/>
      <c r="E84" s="945"/>
      <c r="F84" s="945"/>
      <c r="G84" s="945"/>
      <c r="H84" s="945"/>
      <c r="I84" s="945"/>
      <c r="J84" s="946" t="str">
        <f>IF(AND(K104="",M106=""),"",1)</f>
        <v/>
      </c>
      <c r="K84" s="947"/>
      <c r="L84" s="947"/>
      <c r="M84" s="947"/>
      <c r="N84" s="947"/>
      <c r="O84" s="947"/>
      <c r="P84" s="947"/>
      <c r="Q84" s="947"/>
      <c r="R84" s="948"/>
      <c r="S84" s="969" t="str">
        <f>IF(AND(T104="",V106=""),"",2)</f>
        <v/>
      </c>
      <c r="T84" s="947"/>
      <c r="U84" s="947"/>
      <c r="V84" s="947"/>
      <c r="W84" s="947"/>
      <c r="X84" s="947"/>
      <c r="Y84" s="947"/>
      <c r="Z84" s="947"/>
      <c r="AA84" s="948"/>
      <c r="AB84" s="969" t="str">
        <f>IF(AND(AC104="",AE106=""),"",3)</f>
        <v/>
      </c>
      <c r="AC84" s="947"/>
      <c r="AD84" s="947"/>
      <c r="AE84" s="947"/>
      <c r="AF84" s="947"/>
      <c r="AG84" s="947"/>
      <c r="AH84" s="947"/>
      <c r="AI84" s="947"/>
      <c r="AJ84" s="970"/>
      <c r="AK84" s="594"/>
      <c r="AL84" s="595"/>
    </row>
    <row r="85" spans="1:38" ht="39" customHeight="1">
      <c r="A85" s="553"/>
      <c r="B85" s="889" t="s">
        <v>3211</v>
      </c>
      <c r="C85" s="890"/>
      <c r="D85" s="890"/>
      <c r="E85" s="890"/>
      <c r="F85" s="890"/>
      <c r="G85" s="890"/>
      <c r="H85" s="890"/>
      <c r="I85" s="890"/>
      <c r="J85" s="946" t="str">
        <f>IF(AND(K104="",M106=""),"",cst_wskakunin_BUILD_NAME)</f>
        <v/>
      </c>
      <c r="K85" s="947"/>
      <c r="L85" s="947"/>
      <c r="M85" s="947"/>
      <c r="N85" s="947"/>
      <c r="O85" s="947"/>
      <c r="P85" s="947"/>
      <c r="Q85" s="947"/>
      <c r="R85" s="948"/>
      <c r="S85" s="969"/>
      <c r="T85" s="947"/>
      <c r="U85" s="947"/>
      <c r="V85" s="947"/>
      <c r="W85" s="947"/>
      <c r="X85" s="947"/>
      <c r="Y85" s="947"/>
      <c r="Z85" s="947"/>
      <c r="AA85" s="948"/>
      <c r="AB85" s="969"/>
      <c r="AC85" s="947"/>
      <c r="AD85" s="947"/>
      <c r="AE85" s="947"/>
      <c r="AF85" s="947"/>
      <c r="AG85" s="947"/>
      <c r="AH85" s="947"/>
      <c r="AI85" s="947"/>
      <c r="AJ85" s="970"/>
      <c r="AK85" s="594"/>
      <c r="AL85" s="595"/>
    </row>
    <row r="86" spans="1:38" ht="23.1" customHeight="1">
      <c r="A86" s="553"/>
      <c r="B86" s="950" t="s">
        <v>3212</v>
      </c>
      <c r="C86" s="874"/>
      <c r="D86" s="874"/>
      <c r="E86" s="874"/>
      <c r="F86" s="874"/>
      <c r="G86" s="874"/>
      <c r="H86" s="874"/>
      <c r="I86" s="874"/>
      <c r="J86" s="960"/>
      <c r="K86" s="961"/>
      <c r="L86" s="961"/>
      <c r="M86" s="961"/>
      <c r="N86" s="961"/>
      <c r="O86" s="961"/>
      <c r="P86" s="961"/>
      <c r="Q86" s="961"/>
      <c r="R86" s="962"/>
      <c r="S86" s="963"/>
      <c r="T86" s="961"/>
      <c r="U86" s="961"/>
      <c r="V86" s="961"/>
      <c r="W86" s="961"/>
      <c r="X86" s="961"/>
      <c r="Y86" s="961"/>
      <c r="Z86" s="961"/>
      <c r="AA86" s="962"/>
      <c r="AB86" s="963"/>
      <c r="AC86" s="961"/>
      <c r="AD86" s="961"/>
      <c r="AE86" s="961"/>
      <c r="AF86" s="961"/>
      <c r="AG86" s="961"/>
      <c r="AH86" s="961"/>
      <c r="AI86" s="961"/>
      <c r="AJ86" s="964"/>
      <c r="AK86" s="594"/>
      <c r="AL86" s="595"/>
    </row>
    <row r="87" spans="1:38" ht="17.100000000000001" customHeight="1">
      <c r="A87" s="553"/>
      <c r="B87" s="939"/>
      <c r="C87" s="891"/>
      <c r="D87" s="891"/>
      <c r="E87" s="891"/>
      <c r="F87" s="891"/>
      <c r="G87" s="891"/>
      <c r="H87" s="891"/>
      <c r="I87" s="891"/>
      <c r="J87" s="596" t="s">
        <v>2832</v>
      </c>
      <c r="K87" s="965" t="s">
        <v>3106</v>
      </c>
      <c r="L87" s="966"/>
      <c r="M87" s="966"/>
      <c r="N87" s="966"/>
      <c r="O87" s="966"/>
      <c r="P87" s="966"/>
      <c r="Q87" s="966"/>
      <c r="R87" s="967"/>
      <c r="S87" s="596" t="s">
        <v>2832</v>
      </c>
      <c r="T87" s="965" t="s">
        <v>3106</v>
      </c>
      <c r="U87" s="966"/>
      <c r="V87" s="966"/>
      <c r="W87" s="966"/>
      <c r="X87" s="966"/>
      <c r="Y87" s="966"/>
      <c r="Z87" s="966"/>
      <c r="AA87" s="967"/>
      <c r="AB87" s="596" t="s">
        <v>2832</v>
      </c>
      <c r="AC87" s="965" t="s">
        <v>3106</v>
      </c>
      <c r="AD87" s="966"/>
      <c r="AE87" s="966"/>
      <c r="AF87" s="966"/>
      <c r="AG87" s="966"/>
      <c r="AH87" s="966"/>
      <c r="AI87" s="966"/>
      <c r="AJ87" s="968"/>
      <c r="AK87" s="597"/>
      <c r="AL87" s="595"/>
    </row>
    <row r="88" spans="1:38" ht="20.100000000000001" customHeight="1">
      <c r="A88" s="553"/>
      <c r="B88" s="971" t="s">
        <v>3213</v>
      </c>
      <c r="C88" s="972"/>
      <c r="D88" s="972"/>
      <c r="E88" s="972"/>
      <c r="F88" s="972"/>
      <c r="G88" s="972"/>
      <c r="H88" s="972"/>
      <c r="I88" s="972"/>
      <c r="J88" s="975"/>
      <c r="K88" s="976"/>
      <c r="L88" s="976"/>
      <c r="M88" s="976"/>
      <c r="N88" s="976"/>
      <c r="O88" s="976"/>
      <c r="P88" s="976"/>
      <c r="Q88" s="976"/>
      <c r="R88" s="977"/>
      <c r="S88" s="981"/>
      <c r="T88" s="976"/>
      <c r="U88" s="976"/>
      <c r="V88" s="976"/>
      <c r="W88" s="976"/>
      <c r="X88" s="976"/>
      <c r="Y88" s="976"/>
      <c r="Z88" s="976"/>
      <c r="AA88" s="977"/>
      <c r="AB88" s="981"/>
      <c r="AC88" s="976"/>
      <c r="AD88" s="976"/>
      <c r="AE88" s="976"/>
      <c r="AF88" s="976"/>
      <c r="AG88" s="976"/>
      <c r="AH88" s="976"/>
      <c r="AI88" s="976"/>
      <c r="AJ88" s="983"/>
      <c r="AK88" s="552"/>
      <c r="AL88" s="591"/>
    </row>
    <row r="89" spans="1:38" ht="15.95" customHeight="1">
      <c r="A89" s="553"/>
      <c r="B89" s="973"/>
      <c r="C89" s="974"/>
      <c r="D89" s="974"/>
      <c r="E89" s="974"/>
      <c r="F89" s="974"/>
      <c r="G89" s="974"/>
      <c r="H89" s="974"/>
      <c r="I89" s="974"/>
      <c r="J89" s="978"/>
      <c r="K89" s="979"/>
      <c r="L89" s="979"/>
      <c r="M89" s="979"/>
      <c r="N89" s="979"/>
      <c r="O89" s="979"/>
      <c r="P89" s="979"/>
      <c r="Q89" s="979"/>
      <c r="R89" s="980"/>
      <c r="S89" s="982"/>
      <c r="T89" s="979"/>
      <c r="U89" s="979"/>
      <c r="V89" s="979"/>
      <c r="W89" s="979"/>
      <c r="X89" s="979"/>
      <c r="Y89" s="979"/>
      <c r="Z89" s="979"/>
      <c r="AA89" s="980"/>
      <c r="AB89" s="982"/>
      <c r="AC89" s="979"/>
      <c r="AD89" s="979"/>
      <c r="AE89" s="979"/>
      <c r="AF89" s="979"/>
      <c r="AG89" s="979"/>
      <c r="AH89" s="979"/>
      <c r="AI89" s="979"/>
      <c r="AJ89" s="984"/>
      <c r="AK89" s="598"/>
      <c r="AL89" s="599"/>
    </row>
    <row r="90" spans="1:38" ht="23.1" customHeight="1">
      <c r="A90" s="553"/>
      <c r="B90" s="918" t="s">
        <v>3214</v>
      </c>
      <c r="C90" s="919"/>
      <c r="D90" s="919"/>
      <c r="E90" s="919"/>
      <c r="F90" s="919"/>
      <c r="G90" s="919"/>
      <c r="H90" s="919"/>
      <c r="I90" s="919"/>
      <c r="J90" s="574"/>
      <c r="K90" s="985"/>
      <c r="L90" s="985"/>
      <c r="M90" s="985"/>
      <c r="N90" s="985"/>
      <c r="O90" s="985"/>
      <c r="P90" s="912" t="s">
        <v>3215</v>
      </c>
      <c r="Q90" s="912"/>
      <c r="R90" s="600"/>
      <c r="S90" s="601"/>
      <c r="T90" s="985"/>
      <c r="U90" s="985"/>
      <c r="V90" s="985"/>
      <c r="W90" s="985"/>
      <c r="X90" s="985"/>
      <c r="Y90" s="912" t="s">
        <v>3215</v>
      </c>
      <c r="Z90" s="912"/>
      <c r="AA90" s="600"/>
      <c r="AB90" s="601"/>
      <c r="AC90" s="985"/>
      <c r="AD90" s="985"/>
      <c r="AE90" s="985"/>
      <c r="AF90" s="985"/>
      <c r="AG90" s="985"/>
      <c r="AH90" s="912" t="s">
        <v>3215</v>
      </c>
      <c r="AI90" s="912"/>
      <c r="AJ90" s="567"/>
      <c r="AK90" s="554"/>
      <c r="AL90" s="555"/>
    </row>
    <row r="91" spans="1:38" ht="12" customHeight="1">
      <c r="A91" s="553"/>
      <c r="B91" s="950" t="s">
        <v>3216</v>
      </c>
      <c r="C91" s="951"/>
      <c r="D91" s="951"/>
      <c r="E91" s="951"/>
      <c r="F91" s="951"/>
      <c r="G91" s="951"/>
      <c r="H91" s="951"/>
      <c r="I91" s="951"/>
      <c r="J91" s="582"/>
      <c r="K91" s="738"/>
      <c r="L91" s="738"/>
      <c r="M91" s="738"/>
      <c r="N91" s="738"/>
      <c r="O91" s="738"/>
      <c r="P91" s="738"/>
      <c r="Q91" s="738"/>
      <c r="R91" s="602"/>
      <c r="S91" s="603"/>
      <c r="T91" s="986"/>
      <c r="U91" s="986"/>
      <c r="V91" s="986"/>
      <c r="W91" s="986"/>
      <c r="X91" s="986"/>
      <c r="Y91" s="738"/>
      <c r="Z91" s="738"/>
      <c r="AA91" s="602"/>
      <c r="AB91" s="603"/>
      <c r="AC91" s="738"/>
      <c r="AD91" s="738"/>
      <c r="AE91" s="738"/>
      <c r="AF91" s="738"/>
      <c r="AG91" s="738"/>
      <c r="AH91" s="738"/>
      <c r="AI91" s="738"/>
      <c r="AJ91" s="739"/>
      <c r="AK91" s="554"/>
      <c r="AL91" s="555"/>
    </row>
    <row r="92" spans="1:38" ht="18.95" customHeight="1">
      <c r="A92" s="553"/>
      <c r="B92" s="953"/>
      <c r="C92" s="954"/>
      <c r="D92" s="954"/>
      <c r="E92" s="954"/>
      <c r="F92" s="954"/>
      <c r="G92" s="954"/>
      <c r="H92" s="954"/>
      <c r="I92" s="954"/>
      <c r="J92" s="568"/>
      <c r="K92" s="987" t="str">
        <f>cst_wskakunin_p4_1_YUKA_MENSEKI_SHINSEI</f>
        <v/>
      </c>
      <c r="L92" s="987"/>
      <c r="M92" s="987"/>
      <c r="N92" s="987"/>
      <c r="O92" s="987"/>
      <c r="P92" s="988" t="s">
        <v>2966</v>
      </c>
      <c r="Q92" s="988"/>
      <c r="R92" s="605"/>
      <c r="S92" s="606"/>
      <c r="T92" s="989" t="str">
        <f>cst_wskakunin_p4_2_YUKA_MENSEKI_SHINSEI</f>
        <v/>
      </c>
      <c r="U92" s="989"/>
      <c r="V92" s="989"/>
      <c r="W92" s="989"/>
      <c r="X92" s="989"/>
      <c r="Y92" s="988" t="s">
        <v>2966</v>
      </c>
      <c r="Z92" s="988"/>
      <c r="AA92" s="605"/>
      <c r="AB92" s="606"/>
      <c r="AC92" s="987" t="str">
        <f>cst_wskakunin_p4_3_YUKA_MENSEKI_SHINSEI</f>
        <v/>
      </c>
      <c r="AD92" s="987"/>
      <c r="AE92" s="987"/>
      <c r="AF92" s="987"/>
      <c r="AG92" s="987"/>
      <c r="AH92" s="988" t="s">
        <v>2966</v>
      </c>
      <c r="AI92" s="988"/>
      <c r="AJ92" s="570"/>
      <c r="AK92" s="554"/>
      <c r="AL92" s="555"/>
    </row>
    <row r="93" spans="1:38" ht="8.4499999999999993" hidden="1" customHeight="1">
      <c r="A93" s="553"/>
      <c r="B93" s="607"/>
      <c r="C93" s="607"/>
      <c r="D93" s="607"/>
      <c r="E93" s="607"/>
      <c r="F93" s="607"/>
      <c r="G93" s="607"/>
      <c r="H93" s="607"/>
      <c r="I93" s="592"/>
      <c r="J93" s="553"/>
      <c r="K93" s="608"/>
      <c r="L93" s="608"/>
      <c r="M93" s="608"/>
      <c r="N93" s="608"/>
      <c r="O93" s="571"/>
      <c r="P93" s="571"/>
      <c r="Q93" s="554"/>
      <c r="R93" s="609"/>
      <c r="S93" s="610"/>
      <c r="T93" s="608"/>
      <c r="U93" s="608"/>
      <c r="V93" s="608"/>
      <c r="W93" s="608"/>
      <c r="X93" s="571"/>
      <c r="Y93" s="571"/>
      <c r="Z93" s="554"/>
      <c r="AA93" s="609"/>
      <c r="AB93" s="610"/>
      <c r="AC93" s="608"/>
      <c r="AD93" s="608"/>
      <c r="AE93" s="608"/>
      <c r="AF93" s="608"/>
      <c r="AG93" s="571"/>
      <c r="AH93" s="571"/>
      <c r="AI93" s="554"/>
      <c r="AJ93" s="555"/>
      <c r="AK93" s="554"/>
      <c r="AL93" s="555"/>
    </row>
    <row r="94" spans="1:38" ht="23.1" customHeight="1">
      <c r="A94" s="553"/>
      <c r="B94" s="950" t="s">
        <v>3217</v>
      </c>
      <c r="C94" s="951"/>
      <c r="D94" s="951"/>
      <c r="E94" s="951"/>
      <c r="F94" s="951"/>
      <c r="G94" s="951"/>
      <c r="H94" s="951"/>
      <c r="I94" s="952"/>
      <c r="J94" s="611" t="s">
        <v>3218</v>
      </c>
      <c r="K94" s="993" t="s">
        <v>1957</v>
      </c>
      <c r="L94" s="994"/>
      <c r="M94" s="995"/>
      <c r="N94" s="996"/>
      <c r="O94" s="996"/>
      <c r="P94" s="996"/>
      <c r="Q94" s="996"/>
      <c r="R94" s="997"/>
      <c r="S94" s="739" t="s">
        <v>3218</v>
      </c>
      <c r="T94" s="993" t="s">
        <v>1957</v>
      </c>
      <c r="U94" s="994"/>
      <c r="V94" s="995"/>
      <c r="W94" s="998"/>
      <c r="X94" s="996"/>
      <c r="Y94" s="996"/>
      <c r="Z94" s="996"/>
      <c r="AA94" s="997"/>
      <c r="AB94" s="739" t="s">
        <v>3218</v>
      </c>
      <c r="AC94" s="993" t="s">
        <v>1957</v>
      </c>
      <c r="AD94" s="994"/>
      <c r="AE94" s="995"/>
      <c r="AF94" s="998"/>
      <c r="AG94" s="996"/>
      <c r="AH94" s="996"/>
      <c r="AI94" s="996"/>
      <c r="AJ94" s="999"/>
      <c r="AK94" s="554"/>
      <c r="AL94" s="555"/>
    </row>
    <row r="95" spans="1:38" ht="23.1" customHeight="1">
      <c r="A95" s="553"/>
      <c r="B95" s="990"/>
      <c r="C95" s="991"/>
      <c r="D95" s="991"/>
      <c r="E95" s="991"/>
      <c r="F95" s="991"/>
      <c r="G95" s="991"/>
      <c r="H95" s="991"/>
      <c r="I95" s="992"/>
      <c r="J95" s="612"/>
      <c r="K95" s="993" t="s">
        <v>3219</v>
      </c>
      <c r="L95" s="994"/>
      <c r="M95" s="995"/>
      <c r="N95" s="985"/>
      <c r="O95" s="985"/>
      <c r="P95" s="985"/>
      <c r="Q95" s="985"/>
      <c r="R95" s="600" t="s">
        <v>2966</v>
      </c>
      <c r="S95" s="570"/>
      <c r="T95" s="993" t="s">
        <v>3219</v>
      </c>
      <c r="U95" s="994"/>
      <c r="V95" s="994"/>
      <c r="W95" s="1000"/>
      <c r="X95" s="1001"/>
      <c r="Y95" s="1001"/>
      <c r="Z95" s="1001"/>
      <c r="AA95" s="600" t="s">
        <v>2966</v>
      </c>
      <c r="AB95" s="570"/>
      <c r="AC95" s="993" t="s">
        <v>3219</v>
      </c>
      <c r="AD95" s="994"/>
      <c r="AE95" s="994"/>
      <c r="AF95" s="1000"/>
      <c r="AG95" s="1001"/>
      <c r="AH95" s="1001"/>
      <c r="AI95" s="1001"/>
      <c r="AJ95" s="567" t="s">
        <v>2966</v>
      </c>
      <c r="AK95" s="554"/>
      <c r="AL95" s="555"/>
    </row>
    <row r="96" spans="1:38" ht="23.1" customHeight="1">
      <c r="A96" s="553"/>
      <c r="B96" s="990"/>
      <c r="C96" s="991"/>
      <c r="D96" s="991"/>
      <c r="E96" s="991"/>
      <c r="F96" s="991"/>
      <c r="G96" s="991"/>
      <c r="H96" s="991"/>
      <c r="I96" s="992"/>
      <c r="J96" s="611" t="s">
        <v>3220</v>
      </c>
      <c r="K96" s="993" t="s">
        <v>1957</v>
      </c>
      <c r="L96" s="994"/>
      <c r="M96" s="995"/>
      <c r="N96" s="996"/>
      <c r="O96" s="996"/>
      <c r="P96" s="996"/>
      <c r="Q96" s="996"/>
      <c r="R96" s="997"/>
      <c r="S96" s="739" t="s">
        <v>3220</v>
      </c>
      <c r="T96" s="993" t="s">
        <v>1957</v>
      </c>
      <c r="U96" s="994"/>
      <c r="V96" s="995"/>
      <c r="W96" s="998"/>
      <c r="X96" s="996"/>
      <c r="Y96" s="996"/>
      <c r="Z96" s="996"/>
      <c r="AA96" s="997"/>
      <c r="AB96" s="739" t="s">
        <v>3220</v>
      </c>
      <c r="AC96" s="993" t="s">
        <v>1957</v>
      </c>
      <c r="AD96" s="994"/>
      <c r="AE96" s="995"/>
      <c r="AF96" s="998"/>
      <c r="AG96" s="996"/>
      <c r="AH96" s="996"/>
      <c r="AI96" s="996"/>
      <c r="AJ96" s="999"/>
      <c r="AK96" s="554"/>
      <c r="AL96" s="555"/>
    </row>
    <row r="97" spans="1:38" ht="23.1" customHeight="1">
      <c r="A97" s="553"/>
      <c r="B97" s="990"/>
      <c r="C97" s="991"/>
      <c r="D97" s="991"/>
      <c r="E97" s="991"/>
      <c r="F97" s="991"/>
      <c r="G97" s="991"/>
      <c r="H97" s="991"/>
      <c r="I97" s="992"/>
      <c r="J97" s="612"/>
      <c r="K97" s="993" t="s">
        <v>3219</v>
      </c>
      <c r="L97" s="994"/>
      <c r="M97" s="995"/>
      <c r="N97" s="985"/>
      <c r="O97" s="985"/>
      <c r="P97" s="985"/>
      <c r="Q97" s="985"/>
      <c r="R97" s="600" t="s">
        <v>2966</v>
      </c>
      <c r="S97" s="570"/>
      <c r="T97" s="993" t="s">
        <v>3219</v>
      </c>
      <c r="U97" s="994"/>
      <c r="V97" s="994"/>
      <c r="W97" s="1000"/>
      <c r="X97" s="1001"/>
      <c r="Y97" s="1001"/>
      <c r="Z97" s="1001"/>
      <c r="AA97" s="600" t="s">
        <v>2966</v>
      </c>
      <c r="AB97" s="570"/>
      <c r="AC97" s="993" t="s">
        <v>3219</v>
      </c>
      <c r="AD97" s="994"/>
      <c r="AE97" s="994"/>
      <c r="AF97" s="1000"/>
      <c r="AG97" s="1001"/>
      <c r="AH97" s="1001"/>
      <c r="AI97" s="1001"/>
      <c r="AJ97" s="567" t="s">
        <v>2966</v>
      </c>
      <c r="AK97" s="554"/>
      <c r="AL97" s="555"/>
    </row>
    <row r="98" spans="1:38" ht="23.1" customHeight="1">
      <c r="A98" s="553"/>
      <c r="B98" s="990"/>
      <c r="C98" s="991"/>
      <c r="D98" s="991"/>
      <c r="E98" s="991"/>
      <c r="F98" s="991"/>
      <c r="G98" s="991"/>
      <c r="H98" s="991"/>
      <c r="I98" s="992"/>
      <c r="J98" s="582" t="s">
        <v>3221</v>
      </c>
      <c r="K98" s="993" t="s">
        <v>1957</v>
      </c>
      <c r="L98" s="994"/>
      <c r="M98" s="995"/>
      <c r="N98" s="996"/>
      <c r="O98" s="996"/>
      <c r="P98" s="996"/>
      <c r="Q98" s="996"/>
      <c r="R98" s="997"/>
      <c r="S98" s="738" t="s">
        <v>3221</v>
      </c>
      <c r="T98" s="993" t="s">
        <v>1957</v>
      </c>
      <c r="U98" s="994"/>
      <c r="V98" s="995"/>
      <c r="W98" s="998"/>
      <c r="X98" s="996"/>
      <c r="Y98" s="996"/>
      <c r="Z98" s="996"/>
      <c r="AA98" s="997"/>
      <c r="AB98" s="738" t="s">
        <v>3221</v>
      </c>
      <c r="AC98" s="993" t="s">
        <v>1957</v>
      </c>
      <c r="AD98" s="994"/>
      <c r="AE98" s="995"/>
      <c r="AF98" s="998"/>
      <c r="AG98" s="996"/>
      <c r="AH98" s="996"/>
      <c r="AI98" s="996"/>
      <c r="AJ98" s="999"/>
      <c r="AK98" s="554"/>
      <c r="AL98" s="555"/>
    </row>
    <row r="99" spans="1:38" ht="23.1" customHeight="1">
      <c r="A99" s="553"/>
      <c r="B99" s="953"/>
      <c r="C99" s="954"/>
      <c r="D99" s="954"/>
      <c r="E99" s="954"/>
      <c r="F99" s="954"/>
      <c r="G99" s="954"/>
      <c r="H99" s="954"/>
      <c r="I99" s="955"/>
      <c r="J99" s="568"/>
      <c r="K99" s="993" t="s">
        <v>3219</v>
      </c>
      <c r="L99" s="994"/>
      <c r="M99" s="995"/>
      <c r="N99" s="1001"/>
      <c r="O99" s="1001"/>
      <c r="P99" s="1001"/>
      <c r="Q99" s="1001"/>
      <c r="R99" s="600" t="s">
        <v>2966</v>
      </c>
      <c r="S99" s="569"/>
      <c r="T99" s="993" t="s">
        <v>3219</v>
      </c>
      <c r="U99" s="994"/>
      <c r="V99" s="994"/>
      <c r="W99" s="1000"/>
      <c r="X99" s="1001"/>
      <c r="Y99" s="1001"/>
      <c r="Z99" s="1001"/>
      <c r="AA99" s="600" t="s">
        <v>2966</v>
      </c>
      <c r="AB99" s="569"/>
      <c r="AC99" s="993" t="s">
        <v>3219</v>
      </c>
      <c r="AD99" s="994"/>
      <c r="AE99" s="994"/>
      <c r="AF99" s="1000"/>
      <c r="AG99" s="1001"/>
      <c r="AH99" s="1001"/>
      <c r="AI99" s="1001"/>
      <c r="AJ99" s="567" t="s">
        <v>2966</v>
      </c>
      <c r="AK99" s="554"/>
      <c r="AL99" s="555"/>
    </row>
    <row r="100" spans="1:38" ht="23.1" customHeight="1">
      <c r="A100" s="553"/>
      <c r="B100" s="1003" t="s">
        <v>3222</v>
      </c>
      <c r="C100" s="972"/>
      <c r="D100" s="972"/>
      <c r="E100" s="972"/>
      <c r="F100" s="972"/>
      <c r="G100" s="972"/>
      <c r="H100" s="972"/>
      <c r="I100" s="972"/>
      <c r="J100" s="574"/>
      <c r="K100" s="985"/>
      <c r="L100" s="985"/>
      <c r="M100" s="985"/>
      <c r="N100" s="985"/>
      <c r="O100" s="985"/>
      <c r="P100" s="912" t="s">
        <v>3223</v>
      </c>
      <c r="Q100" s="912"/>
      <c r="R100" s="600"/>
      <c r="S100" s="601"/>
      <c r="T100" s="985"/>
      <c r="U100" s="985"/>
      <c r="V100" s="985"/>
      <c r="W100" s="985"/>
      <c r="X100" s="985"/>
      <c r="Y100" s="912" t="s">
        <v>3223</v>
      </c>
      <c r="Z100" s="912"/>
      <c r="AA100" s="600"/>
      <c r="AB100" s="601"/>
      <c r="AC100" s="985"/>
      <c r="AD100" s="985"/>
      <c r="AE100" s="985"/>
      <c r="AF100" s="985"/>
      <c r="AG100" s="985"/>
      <c r="AH100" s="912" t="s">
        <v>3223</v>
      </c>
      <c r="AI100" s="912"/>
      <c r="AJ100" s="567"/>
      <c r="AK100" s="554"/>
      <c r="AL100" s="555"/>
    </row>
    <row r="101" spans="1:38" ht="8.4499999999999993" hidden="1" customHeight="1">
      <c r="A101" s="553"/>
      <c r="B101" s="973"/>
      <c r="C101" s="974"/>
      <c r="D101" s="974"/>
      <c r="E101" s="974"/>
      <c r="F101" s="974"/>
      <c r="G101" s="974"/>
      <c r="H101" s="974"/>
      <c r="I101" s="974"/>
      <c r="J101" s="553"/>
      <c r="K101" s="604"/>
      <c r="L101" s="604"/>
      <c r="M101" s="604"/>
      <c r="N101" s="604"/>
      <c r="O101" s="571"/>
      <c r="P101" s="571"/>
      <c r="Q101" s="554"/>
      <c r="R101" s="609"/>
      <c r="S101" s="610"/>
      <c r="T101" s="604"/>
      <c r="U101" s="604"/>
      <c r="V101" s="604"/>
      <c r="W101" s="604"/>
      <c r="X101" s="571"/>
      <c r="Y101" s="571"/>
      <c r="Z101" s="554"/>
      <c r="AA101" s="609"/>
      <c r="AB101" s="610"/>
      <c r="AC101" s="604"/>
      <c r="AD101" s="604"/>
      <c r="AE101" s="604"/>
      <c r="AF101" s="604"/>
      <c r="AG101" s="571"/>
      <c r="AH101" s="571"/>
      <c r="AI101" s="554"/>
      <c r="AJ101" s="555"/>
      <c r="AK101" s="554"/>
      <c r="AL101" s="555"/>
    </row>
    <row r="102" spans="1:38" ht="17.45" customHeight="1">
      <c r="A102" s="553"/>
      <c r="B102" s="1004"/>
      <c r="C102" s="1005"/>
      <c r="D102" s="1005"/>
      <c r="E102" s="1005"/>
      <c r="F102" s="1005"/>
      <c r="G102" s="1005"/>
      <c r="H102" s="1005"/>
      <c r="I102" s="1005"/>
      <c r="J102" s="613" t="s">
        <v>2832</v>
      </c>
      <c r="K102" s="614"/>
      <c r="M102" s="614"/>
      <c r="N102" s="615" t="s">
        <v>3224</v>
      </c>
      <c r="O102" s="572"/>
      <c r="P102" s="572"/>
      <c r="Q102" s="569"/>
      <c r="R102" s="605"/>
      <c r="S102" s="495" t="s">
        <v>2832</v>
      </c>
      <c r="T102" s="614"/>
      <c r="V102" s="614"/>
      <c r="W102" s="615" t="s">
        <v>3224</v>
      </c>
      <c r="X102" s="572"/>
      <c r="Y102" s="572"/>
      <c r="Z102" s="569"/>
      <c r="AA102" s="605"/>
      <c r="AB102" s="495" t="s">
        <v>2832</v>
      </c>
      <c r="AC102" s="614"/>
      <c r="AE102" s="614"/>
      <c r="AF102" s="615" t="s">
        <v>3224</v>
      </c>
      <c r="AG102" s="572"/>
      <c r="AH102" s="572"/>
      <c r="AI102" s="569"/>
      <c r="AJ102" s="570"/>
      <c r="AK102" s="554"/>
      <c r="AL102" s="555"/>
    </row>
    <row r="103" spans="1:38" ht="11.45" customHeight="1">
      <c r="A103" s="553"/>
      <c r="B103" s="950" t="s">
        <v>3225</v>
      </c>
      <c r="C103" s="951"/>
      <c r="D103" s="951"/>
      <c r="E103" s="951"/>
      <c r="F103" s="951"/>
      <c r="G103" s="951"/>
      <c r="H103" s="951"/>
      <c r="I103" s="951"/>
      <c r="J103" s="582"/>
      <c r="K103" s="746"/>
      <c r="L103" s="746"/>
      <c r="M103" s="746"/>
      <c r="N103" s="746"/>
      <c r="O103" s="746"/>
      <c r="P103" s="746"/>
      <c r="Q103" s="738"/>
      <c r="R103" s="602"/>
      <c r="S103" s="603"/>
      <c r="T103" s="746"/>
      <c r="U103" s="746"/>
      <c r="V103" s="746"/>
      <c r="W103" s="746"/>
      <c r="X103" s="746"/>
      <c r="Y103" s="746"/>
      <c r="Z103" s="738"/>
      <c r="AA103" s="602"/>
      <c r="AB103" s="603"/>
      <c r="AC103" s="746"/>
      <c r="AD103" s="746"/>
      <c r="AE103" s="746"/>
      <c r="AF103" s="746"/>
      <c r="AG103" s="746"/>
      <c r="AH103" s="746"/>
      <c r="AI103" s="738"/>
      <c r="AJ103" s="739"/>
      <c r="AK103" s="554"/>
      <c r="AL103" s="555"/>
    </row>
    <row r="104" spans="1:38" ht="18.95" customHeight="1">
      <c r="A104" s="553"/>
      <c r="B104" s="953"/>
      <c r="C104" s="954"/>
      <c r="D104" s="954"/>
      <c r="E104" s="954"/>
      <c r="F104" s="954"/>
      <c r="G104" s="954"/>
      <c r="H104" s="954"/>
      <c r="I104" s="954"/>
      <c r="J104" s="568"/>
      <c r="K104" s="987" t="str">
        <f>cst_wskakunin_p4_1_KAISU_TIKAI_NOZOKU</f>
        <v/>
      </c>
      <c r="L104" s="987"/>
      <c r="M104" s="987"/>
      <c r="N104" s="987"/>
      <c r="O104" s="987"/>
      <c r="P104" s="1002" t="s">
        <v>3007</v>
      </c>
      <c r="Q104" s="1002"/>
      <c r="R104" s="605"/>
      <c r="S104" s="606"/>
      <c r="T104" s="987" t="str">
        <f>cst_wskakunin_p4_2_KAISU_TIKAI_NOZOKU</f>
        <v/>
      </c>
      <c r="U104" s="987"/>
      <c r="V104" s="987"/>
      <c r="W104" s="987"/>
      <c r="X104" s="987"/>
      <c r="Y104" s="1002" t="s">
        <v>3007</v>
      </c>
      <c r="Z104" s="1002"/>
      <c r="AA104" s="605"/>
      <c r="AB104" s="606"/>
      <c r="AC104" s="987" t="str">
        <f>cst_wskakunin_p4_3_KAISU_TIKAI_NOZOKU</f>
        <v/>
      </c>
      <c r="AD104" s="987"/>
      <c r="AE104" s="987"/>
      <c r="AF104" s="987"/>
      <c r="AG104" s="987"/>
      <c r="AH104" s="1002" t="s">
        <v>3007</v>
      </c>
      <c r="AI104" s="1002"/>
      <c r="AJ104" s="570"/>
      <c r="AK104" s="554"/>
      <c r="AL104" s="555"/>
    </row>
    <row r="105" spans="1:38" ht="12" customHeight="1">
      <c r="A105" s="553"/>
      <c r="B105" s="950" t="s">
        <v>3226</v>
      </c>
      <c r="C105" s="951"/>
      <c r="D105" s="951"/>
      <c r="E105" s="951"/>
      <c r="F105" s="951"/>
      <c r="G105" s="951"/>
      <c r="H105" s="951"/>
      <c r="I105" s="951"/>
      <c r="J105" s="582"/>
      <c r="K105" s="1012"/>
      <c r="L105" s="1012"/>
      <c r="M105" s="1012"/>
      <c r="N105" s="1012"/>
      <c r="O105" s="1012"/>
      <c r="P105" s="1012"/>
      <c r="Q105" s="738"/>
      <c r="R105" s="602"/>
      <c r="S105" s="603"/>
      <c r="T105" s="1012"/>
      <c r="U105" s="1012"/>
      <c r="V105" s="1012"/>
      <c r="W105" s="1012"/>
      <c r="X105" s="1012"/>
      <c r="Y105" s="1012"/>
      <c r="Z105" s="738"/>
      <c r="AA105" s="602"/>
      <c r="AB105" s="603"/>
      <c r="AC105" s="1012"/>
      <c r="AD105" s="1012"/>
      <c r="AE105" s="1012"/>
      <c r="AF105" s="1012"/>
      <c r="AG105" s="1012"/>
      <c r="AH105" s="1012"/>
      <c r="AI105" s="738"/>
      <c r="AJ105" s="739"/>
      <c r="AK105" s="554"/>
      <c r="AL105" s="555"/>
    </row>
    <row r="106" spans="1:38" ht="18.95" customHeight="1">
      <c r="A106" s="553"/>
      <c r="B106" s="953"/>
      <c r="C106" s="954"/>
      <c r="D106" s="954"/>
      <c r="E106" s="954"/>
      <c r="F106" s="954"/>
      <c r="G106" s="954"/>
      <c r="H106" s="954"/>
      <c r="I106" s="954"/>
      <c r="J106" s="568"/>
      <c r="K106" s="569" t="s">
        <v>3008</v>
      </c>
      <c r="L106" s="569"/>
      <c r="M106" s="987" t="str">
        <f>cst_wskakunin_p4_1_KAISU_TIKAI</f>
        <v/>
      </c>
      <c r="N106" s="987"/>
      <c r="O106" s="987"/>
      <c r="P106" s="1002" t="s">
        <v>3007</v>
      </c>
      <c r="Q106" s="1002"/>
      <c r="R106" s="605"/>
      <c r="S106" s="606"/>
      <c r="T106" s="569" t="s">
        <v>3008</v>
      </c>
      <c r="U106" s="569"/>
      <c r="V106" s="987" t="str">
        <f>cst_wskakunin_p4_2_KAISU_TIKAI</f>
        <v/>
      </c>
      <c r="W106" s="987"/>
      <c r="X106" s="987"/>
      <c r="Y106" s="1002" t="s">
        <v>3007</v>
      </c>
      <c r="Z106" s="1002"/>
      <c r="AA106" s="605"/>
      <c r="AB106" s="606"/>
      <c r="AC106" s="569" t="s">
        <v>3008</v>
      </c>
      <c r="AD106" s="569"/>
      <c r="AE106" s="987" t="str">
        <f>cst_wskakunin_p4_3_KAISU_TIKAI</f>
        <v/>
      </c>
      <c r="AF106" s="987"/>
      <c r="AG106" s="987"/>
      <c r="AH106" s="1002" t="s">
        <v>3007</v>
      </c>
      <c r="AI106" s="1002"/>
      <c r="AJ106" s="570"/>
      <c r="AK106" s="554"/>
      <c r="AL106" s="555"/>
    </row>
    <row r="107" spans="1:38" ht="3.95" customHeight="1">
      <c r="A107" s="553"/>
      <c r="B107" s="554"/>
      <c r="C107" s="554"/>
      <c r="D107" s="554"/>
      <c r="E107" s="554"/>
      <c r="F107" s="554"/>
      <c r="G107" s="554"/>
      <c r="H107" s="554"/>
      <c r="I107" s="554"/>
      <c r="J107" s="554"/>
      <c r="K107" s="554"/>
      <c r="L107" s="554"/>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5"/>
    </row>
    <row r="108" spans="1:38" ht="3.95" customHeight="1">
      <c r="A108" s="553"/>
      <c r="B108" s="554"/>
      <c r="C108" s="554"/>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5"/>
    </row>
    <row r="109" spans="1:38" ht="23.1" customHeight="1">
      <c r="A109" s="1006" t="s">
        <v>3122</v>
      </c>
      <c r="B109" s="938"/>
      <c r="C109" s="938"/>
      <c r="D109" s="938"/>
      <c r="E109" s="938"/>
      <c r="F109" s="938"/>
      <c r="G109" s="938"/>
      <c r="H109" s="938"/>
      <c r="I109" s="938"/>
      <c r="J109" s="938"/>
      <c r="K109" s="938"/>
      <c r="L109" s="938"/>
      <c r="M109" s="938"/>
      <c r="N109" s="938"/>
      <c r="O109" s="938"/>
      <c r="R109" s="616"/>
      <c r="S109" s="1007" t="str">
        <f>cst_wskakunin_SHIKITI_MENSEKI_1_TOTAL</f>
        <v/>
      </c>
      <c r="T109" s="1008"/>
      <c r="U109" s="1008"/>
      <c r="V109" s="1008"/>
      <c r="W109" s="1008"/>
      <c r="X109" s="1008"/>
      <c r="Y109" s="1008"/>
      <c r="Z109" s="1008"/>
      <c r="AA109" s="564" t="s">
        <v>2966</v>
      </c>
      <c r="AB109" s="565"/>
      <c r="AC109" s="617"/>
      <c r="AD109" s="617"/>
      <c r="AG109" s="554"/>
      <c r="AH109" s="554"/>
      <c r="AI109" s="554"/>
      <c r="AJ109" s="554"/>
      <c r="AK109" s="554"/>
      <c r="AL109" s="555"/>
    </row>
    <row r="110" spans="1:38" ht="2.4500000000000002" customHeight="1">
      <c r="A110" s="568"/>
      <c r="B110" s="569"/>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70"/>
    </row>
    <row r="111" spans="1:38" ht="3.95" customHeight="1">
      <c r="A111" s="554"/>
      <c r="B111" s="554"/>
      <c r="C111" s="554"/>
      <c r="D111" s="554"/>
      <c r="E111" s="554"/>
      <c r="F111" s="554"/>
      <c r="G111" s="554"/>
      <c r="H111" s="554"/>
      <c r="I111" s="554"/>
      <c r="J111" s="554"/>
      <c r="K111" s="554"/>
      <c r="L111" s="554"/>
      <c r="M111" s="554"/>
      <c r="N111" s="554"/>
      <c r="O111" s="554"/>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row>
    <row r="112" spans="1:38" ht="15" customHeight="1">
      <c r="A112" s="938" t="s">
        <v>3123</v>
      </c>
      <c r="B112" s="938"/>
      <c r="C112" s="938"/>
      <c r="D112" s="938"/>
      <c r="E112" s="938"/>
      <c r="F112" s="938"/>
      <c r="G112" s="938"/>
      <c r="H112" s="938"/>
      <c r="I112" s="938"/>
      <c r="J112" s="938"/>
      <c r="K112" s="938"/>
      <c r="L112" s="938"/>
      <c r="M112" s="938"/>
      <c r="N112" s="938"/>
      <c r="O112" s="938"/>
      <c r="P112" s="938"/>
      <c r="Q112" s="938"/>
      <c r="R112" s="938"/>
      <c r="S112" s="938"/>
      <c r="T112" s="938"/>
      <c r="U112" s="938"/>
      <c r="V112" s="938"/>
      <c r="W112" s="938"/>
      <c r="X112" s="938"/>
      <c r="Y112" s="938"/>
      <c r="Z112" s="938"/>
      <c r="AA112" s="938"/>
      <c r="AB112" s="938"/>
      <c r="AC112" s="938"/>
      <c r="AD112" s="938"/>
      <c r="AE112" s="938"/>
      <c r="AF112" s="938"/>
      <c r="AG112" s="938"/>
      <c r="AH112" s="938"/>
      <c r="AI112" s="938"/>
      <c r="AJ112" s="938"/>
      <c r="AK112" s="571"/>
      <c r="AL112" s="571"/>
    </row>
    <row r="113" spans="1:38" ht="2.25" customHeight="1">
      <c r="A113" s="554"/>
      <c r="B113" s="554"/>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row>
    <row r="114" spans="1:38" ht="2.25" customHeight="1">
      <c r="A114" s="582"/>
      <c r="B114" s="738"/>
      <c r="C114" s="738"/>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8"/>
      <c r="AA114" s="738"/>
      <c r="AB114" s="738"/>
      <c r="AC114" s="738"/>
      <c r="AD114" s="738"/>
      <c r="AE114" s="738"/>
      <c r="AF114" s="738"/>
      <c r="AG114" s="738"/>
      <c r="AH114" s="738"/>
      <c r="AI114" s="738"/>
      <c r="AJ114" s="738"/>
      <c r="AK114" s="738"/>
      <c r="AL114" s="739"/>
    </row>
    <row r="115" spans="1:38" ht="14.45" customHeight="1">
      <c r="A115" s="553" t="s">
        <v>3227</v>
      </c>
      <c r="B115" s="554"/>
      <c r="C115" s="554"/>
      <c r="D115" s="554"/>
      <c r="E115" s="554"/>
      <c r="F115" s="554"/>
      <c r="G115" s="554"/>
      <c r="H115" s="554"/>
      <c r="I115" s="554"/>
      <c r="J115" s="554"/>
      <c r="K115" s="554"/>
      <c r="L115" s="554"/>
      <c r="M115" s="554"/>
      <c r="N115" s="554"/>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5"/>
    </row>
    <row r="116" spans="1:38" ht="18" customHeight="1">
      <c r="A116" s="553"/>
      <c r="B116" s="889" t="s">
        <v>3210</v>
      </c>
      <c r="C116" s="890"/>
      <c r="D116" s="890"/>
      <c r="E116" s="890"/>
      <c r="F116" s="890"/>
      <c r="G116" s="890"/>
      <c r="H116" s="890"/>
      <c r="I116" s="890"/>
      <c r="J116" s="1009"/>
      <c r="K116" s="1010"/>
      <c r="L116" s="1010"/>
      <c r="M116" s="1010"/>
      <c r="N116" s="1010"/>
      <c r="O116" s="1010"/>
      <c r="P116" s="1011"/>
      <c r="Q116" s="618"/>
      <c r="R116" s="618"/>
      <c r="S116" s="618"/>
      <c r="T116" s="618"/>
      <c r="U116" s="618"/>
      <c r="V116" s="618"/>
      <c r="W116" s="618"/>
      <c r="X116" s="618"/>
      <c r="Y116" s="618"/>
      <c r="Z116" s="618"/>
      <c r="AA116" s="618"/>
      <c r="AB116" s="618"/>
      <c r="AC116" s="618"/>
      <c r="AD116" s="618"/>
      <c r="AE116" s="618"/>
      <c r="AF116" s="618"/>
      <c r="AG116" s="618"/>
      <c r="AH116" s="618"/>
      <c r="AI116" s="618"/>
      <c r="AJ116" s="554"/>
      <c r="AK116" s="554"/>
      <c r="AL116" s="555"/>
    </row>
    <row r="117" spans="1:38" ht="30.95" customHeight="1">
      <c r="A117" s="553"/>
      <c r="B117" s="950" t="s">
        <v>3228</v>
      </c>
      <c r="C117" s="951"/>
      <c r="D117" s="951"/>
      <c r="E117" s="951"/>
      <c r="F117" s="951"/>
      <c r="G117" s="951"/>
      <c r="H117" s="951"/>
      <c r="I117" s="952"/>
      <c r="J117" s="619" t="s">
        <v>2832</v>
      </c>
      <c r="K117" s="737" t="s">
        <v>3126</v>
      </c>
      <c r="L117" s="737"/>
      <c r="M117" s="737"/>
      <c r="N117" s="737"/>
      <c r="O117" s="738"/>
      <c r="P117" s="736" t="s">
        <v>2832</v>
      </c>
      <c r="Q117" s="747" t="s">
        <v>3127</v>
      </c>
      <c r="R117" s="741"/>
      <c r="S117" s="741"/>
      <c r="T117" s="738"/>
      <c r="U117" s="741"/>
      <c r="V117" s="741"/>
      <c r="W117" s="738"/>
      <c r="X117" s="741"/>
      <c r="Y117" s="741"/>
      <c r="Z117" s="739"/>
      <c r="AB117" s="554"/>
      <c r="AC117" s="554"/>
      <c r="AD117" s="554"/>
      <c r="AE117" s="554"/>
      <c r="AF117" s="554"/>
      <c r="AG117" s="554"/>
      <c r="AH117" s="554"/>
      <c r="AI117" s="554"/>
      <c r="AJ117" s="554"/>
      <c r="AK117" s="554"/>
      <c r="AL117" s="555"/>
    </row>
    <row r="118" spans="1:38" ht="17.100000000000001" customHeight="1">
      <c r="A118" s="553"/>
      <c r="B118" s="1003" t="s">
        <v>3229</v>
      </c>
      <c r="C118" s="972"/>
      <c r="D118" s="972"/>
      <c r="E118" s="972"/>
      <c r="F118" s="972"/>
      <c r="G118" s="972"/>
      <c r="H118" s="972"/>
      <c r="I118" s="1013"/>
      <c r="J118" s="619" t="s">
        <v>2832</v>
      </c>
      <c r="K118" s="738" t="s">
        <v>3129</v>
      </c>
      <c r="L118" s="738"/>
      <c r="M118" s="738"/>
      <c r="N118" s="738"/>
      <c r="O118" s="738"/>
      <c r="P118" s="738"/>
      <c r="Q118" s="738"/>
      <c r="R118" s="736" t="s">
        <v>2832</v>
      </c>
      <c r="S118" s="874" t="s">
        <v>3130</v>
      </c>
      <c r="T118" s="874"/>
      <c r="U118" s="874"/>
      <c r="V118" s="874"/>
      <c r="W118" s="874"/>
      <c r="X118" s="738"/>
      <c r="Y118" s="736" t="s">
        <v>2832</v>
      </c>
      <c r="Z118" s="874" t="s">
        <v>3131</v>
      </c>
      <c r="AA118" s="874"/>
      <c r="AB118" s="874"/>
      <c r="AC118" s="874"/>
      <c r="AD118" s="874"/>
      <c r="AE118" s="874"/>
      <c r="AF118" s="874"/>
      <c r="AG118" s="874"/>
      <c r="AH118" s="874"/>
      <c r="AI118" s="949"/>
      <c r="AJ118" s="554"/>
      <c r="AK118" s="554"/>
      <c r="AL118" s="555"/>
    </row>
    <row r="119" spans="1:38" ht="17.100000000000001" customHeight="1">
      <c r="A119" s="553"/>
      <c r="B119" s="1004"/>
      <c r="C119" s="1005"/>
      <c r="D119" s="1005"/>
      <c r="E119" s="1005"/>
      <c r="F119" s="1005"/>
      <c r="G119" s="1005"/>
      <c r="H119" s="1005"/>
      <c r="I119" s="1014"/>
      <c r="J119" s="613" t="s">
        <v>2832</v>
      </c>
      <c r="K119" s="891" t="s">
        <v>3132</v>
      </c>
      <c r="L119" s="891"/>
      <c r="M119" s="891"/>
      <c r="N119" s="891"/>
      <c r="O119" s="891"/>
      <c r="P119" s="891"/>
      <c r="Q119" s="891"/>
      <c r="R119" s="891"/>
      <c r="S119" s="569"/>
      <c r="T119" s="495" t="s">
        <v>2832</v>
      </c>
      <c r="U119" s="891" t="s">
        <v>3133</v>
      </c>
      <c r="V119" s="891"/>
      <c r="W119" s="891"/>
      <c r="X119" s="891"/>
      <c r="Y119" s="569"/>
      <c r="Z119" s="569"/>
      <c r="AA119" s="569"/>
      <c r="AB119" s="569"/>
      <c r="AC119" s="569"/>
      <c r="AD119" s="569"/>
      <c r="AE119" s="569"/>
      <c r="AF119" s="569"/>
      <c r="AG119" s="569"/>
      <c r="AH119" s="569"/>
      <c r="AI119" s="570"/>
      <c r="AJ119" s="554"/>
      <c r="AK119" s="554"/>
      <c r="AL119" s="555"/>
    </row>
    <row r="120" spans="1:38" ht="17.100000000000001" customHeight="1">
      <c r="A120" s="553"/>
      <c r="B120" s="918" t="s">
        <v>3230</v>
      </c>
      <c r="C120" s="919"/>
      <c r="D120" s="919"/>
      <c r="E120" s="919"/>
      <c r="F120" s="919"/>
      <c r="G120" s="919"/>
      <c r="H120" s="919"/>
      <c r="I120" s="920"/>
      <c r="J120" s="613" t="s">
        <v>2832</v>
      </c>
      <c r="K120" s="890" t="s">
        <v>3231</v>
      </c>
      <c r="L120" s="890"/>
      <c r="M120" s="890"/>
      <c r="N120" s="890"/>
      <c r="O120" s="890"/>
      <c r="P120" s="620"/>
      <c r="Q120" s="613" t="s">
        <v>2832</v>
      </c>
      <c r="R120" s="919" t="s">
        <v>3232</v>
      </c>
      <c r="S120" s="919"/>
      <c r="T120" s="919"/>
      <c r="U120" s="919"/>
      <c r="V120" s="919"/>
      <c r="W120" s="919"/>
      <c r="X120" s="613" t="s">
        <v>2832</v>
      </c>
      <c r="Y120" s="890" t="s">
        <v>3233</v>
      </c>
      <c r="Z120" s="890"/>
      <c r="AA120" s="890"/>
      <c r="AB120" s="890"/>
      <c r="AC120" s="890"/>
      <c r="AD120" s="901"/>
      <c r="AE120" s="554"/>
      <c r="AF120" s="554"/>
      <c r="AG120" s="554"/>
      <c r="AH120" s="554"/>
      <c r="AJ120" s="554"/>
      <c r="AK120" s="554"/>
      <c r="AL120" s="555"/>
    </row>
    <row r="121" spans="1:38" ht="17.100000000000001" customHeight="1">
      <c r="A121" s="553"/>
      <c r="B121" s="889" t="s">
        <v>3234</v>
      </c>
      <c r="C121" s="890"/>
      <c r="D121" s="890"/>
      <c r="E121" s="890"/>
      <c r="F121" s="890"/>
      <c r="G121" s="890"/>
      <c r="H121" s="890"/>
      <c r="I121" s="901"/>
      <c r="J121" s="613" t="s">
        <v>2832</v>
      </c>
      <c r="K121" s="890" t="s">
        <v>3235</v>
      </c>
      <c r="L121" s="890"/>
      <c r="M121" s="890"/>
      <c r="N121" s="890"/>
      <c r="O121" s="890"/>
      <c r="P121" s="620"/>
      <c r="Q121" s="613" t="s">
        <v>2832</v>
      </c>
      <c r="R121" s="890" t="s">
        <v>3236</v>
      </c>
      <c r="S121" s="890"/>
      <c r="T121" s="890"/>
      <c r="U121" s="890"/>
      <c r="V121" s="890"/>
      <c r="W121" s="890"/>
      <c r="X121" s="613" t="s">
        <v>2832</v>
      </c>
      <c r="Y121" s="919" t="s">
        <v>3237</v>
      </c>
      <c r="Z121" s="919"/>
      <c r="AA121" s="919"/>
      <c r="AB121" s="919"/>
      <c r="AC121" s="919"/>
      <c r="AD121" s="920"/>
      <c r="AE121" s="554"/>
      <c r="AF121" s="554"/>
      <c r="AG121" s="554"/>
      <c r="AH121" s="554"/>
      <c r="AJ121" s="554"/>
      <c r="AK121" s="554"/>
      <c r="AL121" s="555"/>
    </row>
    <row r="122" spans="1:38" ht="17.100000000000001" customHeight="1">
      <c r="A122" s="553"/>
      <c r="B122" s="889" t="s">
        <v>3238</v>
      </c>
      <c r="C122" s="890"/>
      <c r="D122" s="890"/>
      <c r="E122" s="890"/>
      <c r="F122" s="890"/>
      <c r="G122" s="890"/>
      <c r="H122" s="890"/>
      <c r="I122" s="901"/>
      <c r="J122" s="613" t="s">
        <v>2832</v>
      </c>
      <c r="K122" s="919" t="s">
        <v>3143</v>
      </c>
      <c r="L122" s="919"/>
      <c r="M122" s="919"/>
      <c r="N122" s="919"/>
      <c r="O122" s="919"/>
      <c r="P122" s="919"/>
      <c r="Q122" s="613" t="s">
        <v>2832</v>
      </c>
      <c r="R122" s="874" t="s">
        <v>3144</v>
      </c>
      <c r="S122" s="874"/>
      <c r="T122" s="874"/>
      <c r="U122" s="874"/>
      <c r="V122" s="874"/>
      <c r="W122" s="874"/>
      <c r="X122" s="613" t="s">
        <v>2832</v>
      </c>
      <c r="Y122" s="874" t="s">
        <v>3145</v>
      </c>
      <c r="Z122" s="874"/>
      <c r="AA122" s="874"/>
      <c r="AB122" s="874"/>
      <c r="AC122" s="874"/>
      <c r="AD122" s="739"/>
      <c r="AE122" s="938"/>
      <c r="AF122" s="938"/>
      <c r="AG122" s="938"/>
      <c r="AH122" s="938"/>
      <c r="AI122" s="938"/>
      <c r="AJ122" s="554"/>
      <c r="AK122" s="554"/>
      <c r="AL122" s="555"/>
    </row>
    <row r="123" spans="1:38" ht="17.100000000000001" customHeight="1">
      <c r="A123" s="553"/>
      <c r="B123" s="889" t="s">
        <v>3239</v>
      </c>
      <c r="C123" s="890"/>
      <c r="D123" s="890"/>
      <c r="E123" s="890"/>
      <c r="F123" s="890"/>
      <c r="G123" s="890"/>
      <c r="H123" s="890"/>
      <c r="I123" s="901"/>
      <c r="J123" s="613" t="s">
        <v>2832</v>
      </c>
      <c r="K123" s="890" t="s">
        <v>3240</v>
      </c>
      <c r="L123" s="890"/>
      <c r="M123" s="890"/>
      <c r="N123" s="890"/>
      <c r="O123" s="890"/>
      <c r="P123" s="1015"/>
      <c r="Q123" s="613" t="s">
        <v>2832</v>
      </c>
      <c r="R123" s="890" t="s">
        <v>3241</v>
      </c>
      <c r="S123" s="890"/>
      <c r="T123" s="890"/>
      <c r="U123" s="890"/>
      <c r="V123" s="890"/>
      <c r="W123" s="566"/>
      <c r="X123" s="621" t="s">
        <v>2832</v>
      </c>
      <c r="Y123" s="890" t="s">
        <v>3149</v>
      </c>
      <c r="Z123" s="890"/>
      <c r="AA123" s="890"/>
      <c r="AB123" s="890"/>
      <c r="AC123" s="890"/>
      <c r="AD123" s="566"/>
      <c r="AE123" s="621" t="s">
        <v>2832</v>
      </c>
      <c r="AF123" s="874" t="s">
        <v>3150</v>
      </c>
      <c r="AG123" s="874"/>
      <c r="AH123" s="874"/>
      <c r="AI123" s="874"/>
      <c r="AJ123" s="874"/>
      <c r="AK123" s="737"/>
      <c r="AL123" s="622"/>
    </row>
    <row r="124" spans="1:38" ht="20.100000000000001" customHeight="1">
      <c r="A124" s="553"/>
      <c r="B124" s="889" t="s">
        <v>3242</v>
      </c>
      <c r="C124" s="890"/>
      <c r="D124" s="890"/>
      <c r="E124" s="890"/>
      <c r="F124" s="890"/>
      <c r="G124" s="890"/>
      <c r="H124" s="890"/>
      <c r="I124" s="901"/>
      <c r="J124" s="574"/>
      <c r="K124" s="1016" t="str">
        <f>IF(J123="☑",1,"")</f>
        <v/>
      </c>
      <c r="L124" s="1016"/>
      <c r="M124" s="1016"/>
      <c r="N124" s="566"/>
      <c r="O124" s="566" t="s">
        <v>3164</v>
      </c>
      <c r="P124" s="566"/>
      <c r="Q124" s="601"/>
      <c r="R124" s="1016"/>
      <c r="S124" s="1016"/>
      <c r="T124" s="1016"/>
      <c r="U124" s="566"/>
      <c r="V124" s="566" t="s">
        <v>3164</v>
      </c>
      <c r="W124" s="566"/>
      <c r="X124" s="601"/>
      <c r="Y124" s="1016"/>
      <c r="Z124" s="1016"/>
      <c r="AA124" s="1016"/>
      <c r="AB124" s="566"/>
      <c r="AC124" s="566" t="s">
        <v>3164</v>
      </c>
      <c r="AD124" s="566"/>
      <c r="AE124" s="603"/>
      <c r="AF124" s="1016" t="str">
        <f>IF(AE123="☑",1,"")</f>
        <v/>
      </c>
      <c r="AG124" s="1016"/>
      <c r="AH124" s="1016"/>
      <c r="AI124" s="738"/>
      <c r="AJ124" s="738" t="s">
        <v>3164</v>
      </c>
      <c r="AK124" s="738"/>
      <c r="AL124" s="622"/>
    </row>
    <row r="125" spans="1:38" ht="27" customHeight="1">
      <c r="A125" s="553"/>
      <c r="B125" s="1017" t="s">
        <v>3243</v>
      </c>
      <c r="C125" s="1017"/>
      <c r="D125" s="1017"/>
      <c r="E125" s="1017"/>
      <c r="F125" s="1017"/>
      <c r="G125" s="1017"/>
      <c r="H125" s="1017"/>
      <c r="I125" s="1017"/>
      <c r="J125" s="1000" t="str">
        <f>IF(J123="☑",cst_wskakunin_NOBE_MENSEKI_JYUTAKU_SHINSEI,"")</f>
        <v/>
      </c>
      <c r="K125" s="1001"/>
      <c r="L125" s="1001"/>
      <c r="M125" s="1001"/>
      <c r="N125" s="566"/>
      <c r="O125" s="566" t="s">
        <v>2966</v>
      </c>
      <c r="P125" s="566"/>
      <c r="Q125" s="1018"/>
      <c r="R125" s="1001"/>
      <c r="S125" s="1001"/>
      <c r="T125" s="1001"/>
      <c r="U125" s="566"/>
      <c r="V125" s="566" t="s">
        <v>2966</v>
      </c>
      <c r="W125" s="566"/>
      <c r="X125" s="1018"/>
      <c r="Y125" s="1001"/>
      <c r="Z125" s="1001"/>
      <c r="AA125" s="1001"/>
      <c r="AB125" s="566"/>
      <c r="AC125" s="566" t="s">
        <v>2966</v>
      </c>
      <c r="AD125" s="566"/>
      <c r="AE125" s="1018" t="str">
        <f>IF(AE123="☑",cst_wskakunin_NOBE_MENSEKI_JYUTAKU_SHINSEI,"")</f>
        <v/>
      </c>
      <c r="AF125" s="1001"/>
      <c r="AG125" s="1001"/>
      <c r="AH125" s="1001"/>
      <c r="AI125" s="566"/>
      <c r="AJ125" s="566" t="s">
        <v>2966</v>
      </c>
      <c r="AK125" s="566"/>
      <c r="AL125" s="622"/>
    </row>
    <row r="126" spans="1:38" ht="3.95" customHeight="1">
      <c r="A126" s="553"/>
      <c r="B126" s="552"/>
      <c r="C126" s="552"/>
      <c r="D126" s="552"/>
      <c r="E126" s="552"/>
      <c r="F126" s="552"/>
      <c r="G126" s="552"/>
      <c r="H126" s="552"/>
      <c r="I126" s="552"/>
      <c r="AJ126" s="554"/>
      <c r="AK126" s="554"/>
      <c r="AL126" s="555"/>
    </row>
    <row r="127" spans="1:38" ht="3.95" customHeight="1">
      <c r="A127" s="553"/>
      <c r="B127" s="552"/>
      <c r="C127" s="552"/>
      <c r="D127" s="552"/>
      <c r="E127" s="552"/>
      <c r="F127" s="552"/>
      <c r="G127" s="552"/>
      <c r="H127" s="552"/>
      <c r="I127" s="552"/>
      <c r="AJ127" s="554"/>
      <c r="AK127" s="554"/>
      <c r="AL127" s="555"/>
    </row>
    <row r="128" spans="1:38" ht="18" customHeight="1">
      <c r="A128" s="553"/>
      <c r="B128" s="889" t="s">
        <v>3210</v>
      </c>
      <c r="C128" s="890"/>
      <c r="D128" s="890"/>
      <c r="E128" s="890"/>
      <c r="F128" s="890"/>
      <c r="G128" s="890"/>
      <c r="H128" s="890"/>
      <c r="I128" s="890"/>
      <c r="J128" s="1009"/>
      <c r="K128" s="1010"/>
      <c r="L128" s="1010"/>
      <c r="M128" s="1010"/>
      <c r="N128" s="1010"/>
      <c r="O128" s="1010"/>
      <c r="P128" s="1011"/>
      <c r="Q128" s="618"/>
      <c r="R128" s="618"/>
      <c r="S128" s="618"/>
      <c r="T128" s="618"/>
      <c r="U128" s="618"/>
      <c r="V128" s="618"/>
      <c r="W128" s="618"/>
      <c r="X128" s="618"/>
      <c r="Y128" s="618"/>
      <c r="Z128" s="618"/>
      <c r="AA128" s="618"/>
      <c r="AB128" s="618"/>
      <c r="AC128" s="618"/>
      <c r="AD128" s="618"/>
      <c r="AE128" s="618"/>
      <c r="AF128" s="618"/>
      <c r="AG128" s="618"/>
      <c r="AH128" s="618"/>
      <c r="AI128" s="618"/>
      <c r="AJ128" s="554"/>
      <c r="AK128" s="554"/>
      <c r="AL128" s="555"/>
    </row>
    <row r="129" spans="1:38" ht="30.95" customHeight="1">
      <c r="A129" s="553"/>
      <c r="B129" s="950" t="s">
        <v>3228</v>
      </c>
      <c r="C129" s="951"/>
      <c r="D129" s="951"/>
      <c r="E129" s="951"/>
      <c r="F129" s="951"/>
      <c r="G129" s="951"/>
      <c r="H129" s="951"/>
      <c r="I129" s="952"/>
      <c r="J129" s="619" t="s">
        <v>2832</v>
      </c>
      <c r="K129" s="737" t="s">
        <v>3126</v>
      </c>
      <c r="L129" s="737"/>
      <c r="M129" s="737"/>
      <c r="N129" s="737"/>
      <c r="O129" s="738"/>
      <c r="P129" s="736" t="s">
        <v>2832</v>
      </c>
      <c r="Q129" s="747" t="s">
        <v>3127</v>
      </c>
      <c r="R129" s="741"/>
      <c r="S129" s="741"/>
      <c r="T129" s="738"/>
      <c r="U129" s="741"/>
      <c r="V129" s="741"/>
      <c r="W129" s="738"/>
      <c r="X129" s="741"/>
      <c r="Y129" s="741"/>
      <c r="Z129" s="739"/>
      <c r="AB129" s="554"/>
      <c r="AC129" s="554"/>
      <c r="AD129" s="554"/>
      <c r="AE129" s="554"/>
      <c r="AF129" s="554"/>
      <c r="AG129" s="554"/>
      <c r="AH129" s="554"/>
      <c r="AI129" s="554"/>
      <c r="AJ129" s="554"/>
      <c r="AK129" s="554"/>
      <c r="AL129" s="555"/>
    </row>
    <row r="130" spans="1:38" ht="17.100000000000001" customHeight="1">
      <c r="A130" s="553"/>
      <c r="B130" s="1003" t="s">
        <v>3229</v>
      </c>
      <c r="C130" s="972"/>
      <c r="D130" s="972"/>
      <c r="E130" s="972"/>
      <c r="F130" s="972"/>
      <c r="G130" s="972"/>
      <c r="H130" s="972"/>
      <c r="I130" s="1013"/>
      <c r="J130" s="619" t="s">
        <v>2832</v>
      </c>
      <c r="K130" s="738" t="s">
        <v>3129</v>
      </c>
      <c r="L130" s="738"/>
      <c r="M130" s="738"/>
      <c r="N130" s="738"/>
      <c r="O130" s="738"/>
      <c r="P130" s="738"/>
      <c r="Q130" s="738"/>
      <c r="R130" s="736" t="s">
        <v>2832</v>
      </c>
      <c r="S130" s="874" t="s">
        <v>3130</v>
      </c>
      <c r="T130" s="874"/>
      <c r="U130" s="874"/>
      <c r="V130" s="874"/>
      <c r="W130" s="874"/>
      <c r="X130" s="738"/>
      <c r="Y130" s="736" t="s">
        <v>2832</v>
      </c>
      <c r="Z130" s="874" t="s">
        <v>3131</v>
      </c>
      <c r="AA130" s="874"/>
      <c r="AB130" s="874"/>
      <c r="AC130" s="874"/>
      <c r="AD130" s="874"/>
      <c r="AE130" s="874"/>
      <c r="AF130" s="874"/>
      <c r="AG130" s="874"/>
      <c r="AH130" s="874"/>
      <c r="AI130" s="949"/>
      <c r="AJ130" s="554"/>
      <c r="AK130" s="554"/>
      <c r="AL130" s="555"/>
    </row>
    <row r="131" spans="1:38" ht="17.100000000000001" customHeight="1">
      <c r="A131" s="553"/>
      <c r="B131" s="1004"/>
      <c r="C131" s="1005"/>
      <c r="D131" s="1005"/>
      <c r="E131" s="1005"/>
      <c r="F131" s="1005"/>
      <c r="G131" s="1005"/>
      <c r="H131" s="1005"/>
      <c r="I131" s="1014"/>
      <c r="J131" s="613" t="s">
        <v>2832</v>
      </c>
      <c r="K131" s="891" t="s">
        <v>3132</v>
      </c>
      <c r="L131" s="891"/>
      <c r="M131" s="891"/>
      <c r="N131" s="891"/>
      <c r="O131" s="891"/>
      <c r="P131" s="891"/>
      <c r="Q131" s="891"/>
      <c r="R131" s="891"/>
      <c r="S131" s="569"/>
      <c r="T131" s="495" t="s">
        <v>2832</v>
      </c>
      <c r="U131" s="891" t="s">
        <v>3133</v>
      </c>
      <c r="V131" s="891"/>
      <c r="W131" s="891"/>
      <c r="X131" s="891"/>
      <c r="Y131" s="569"/>
      <c r="Z131" s="569"/>
      <c r="AA131" s="569"/>
      <c r="AB131" s="569"/>
      <c r="AC131" s="569"/>
      <c r="AD131" s="569"/>
      <c r="AE131" s="569"/>
      <c r="AF131" s="569"/>
      <c r="AG131" s="569"/>
      <c r="AH131" s="569"/>
      <c r="AI131" s="570"/>
      <c r="AJ131" s="554"/>
      <c r="AK131" s="554"/>
      <c r="AL131" s="555"/>
    </row>
    <row r="132" spans="1:38" ht="17.100000000000001" customHeight="1">
      <c r="A132" s="553"/>
      <c r="B132" s="918" t="s">
        <v>3230</v>
      </c>
      <c r="C132" s="919"/>
      <c r="D132" s="919"/>
      <c r="E132" s="919"/>
      <c r="F132" s="919"/>
      <c r="G132" s="919"/>
      <c r="H132" s="919"/>
      <c r="I132" s="920"/>
      <c r="J132" s="613" t="s">
        <v>2832</v>
      </c>
      <c r="K132" s="890" t="s">
        <v>3231</v>
      </c>
      <c r="L132" s="890"/>
      <c r="M132" s="890"/>
      <c r="N132" s="890"/>
      <c r="O132" s="890"/>
      <c r="P132" s="620"/>
      <c r="Q132" s="613" t="s">
        <v>2832</v>
      </c>
      <c r="R132" s="919" t="s">
        <v>3232</v>
      </c>
      <c r="S132" s="919"/>
      <c r="T132" s="919"/>
      <c r="U132" s="919"/>
      <c r="V132" s="919"/>
      <c r="W132" s="919"/>
      <c r="X132" s="613" t="s">
        <v>2832</v>
      </c>
      <c r="Y132" s="890" t="s">
        <v>3233</v>
      </c>
      <c r="Z132" s="890"/>
      <c r="AA132" s="890"/>
      <c r="AB132" s="890"/>
      <c r="AC132" s="890"/>
      <c r="AD132" s="901"/>
      <c r="AE132" s="554"/>
      <c r="AF132" s="554"/>
      <c r="AG132" s="554"/>
      <c r="AH132" s="554"/>
      <c r="AJ132" s="554"/>
      <c r="AK132" s="554"/>
      <c r="AL132" s="555"/>
    </row>
    <row r="133" spans="1:38" ht="17.100000000000001" customHeight="1">
      <c r="A133" s="553"/>
      <c r="B133" s="889" t="s">
        <v>3234</v>
      </c>
      <c r="C133" s="890"/>
      <c r="D133" s="890"/>
      <c r="E133" s="890"/>
      <c r="F133" s="890"/>
      <c r="G133" s="890"/>
      <c r="H133" s="890"/>
      <c r="I133" s="901"/>
      <c r="J133" s="613" t="s">
        <v>2832</v>
      </c>
      <c r="K133" s="890" t="s">
        <v>3235</v>
      </c>
      <c r="L133" s="890"/>
      <c r="M133" s="890"/>
      <c r="N133" s="890"/>
      <c r="O133" s="890"/>
      <c r="P133" s="620"/>
      <c r="Q133" s="613" t="s">
        <v>2832</v>
      </c>
      <c r="R133" s="890" t="s">
        <v>3236</v>
      </c>
      <c r="S133" s="890"/>
      <c r="T133" s="890"/>
      <c r="U133" s="890"/>
      <c r="V133" s="890"/>
      <c r="W133" s="890"/>
      <c r="X133" s="613" t="s">
        <v>2832</v>
      </c>
      <c r="Y133" s="919" t="s">
        <v>3237</v>
      </c>
      <c r="Z133" s="919"/>
      <c r="AA133" s="919"/>
      <c r="AB133" s="919"/>
      <c r="AC133" s="919"/>
      <c r="AD133" s="920"/>
      <c r="AE133" s="554"/>
      <c r="AF133" s="554"/>
      <c r="AG133" s="554"/>
      <c r="AH133" s="554"/>
      <c r="AJ133" s="554"/>
      <c r="AK133" s="554"/>
      <c r="AL133" s="555"/>
    </row>
    <row r="134" spans="1:38" ht="17.100000000000001" customHeight="1">
      <c r="A134" s="553"/>
      <c r="B134" s="889" t="s">
        <v>3238</v>
      </c>
      <c r="C134" s="890"/>
      <c r="D134" s="890"/>
      <c r="E134" s="890"/>
      <c r="F134" s="890"/>
      <c r="G134" s="890"/>
      <c r="H134" s="890"/>
      <c r="I134" s="901"/>
      <c r="J134" s="613" t="s">
        <v>2832</v>
      </c>
      <c r="K134" s="919" t="s">
        <v>3143</v>
      </c>
      <c r="L134" s="919"/>
      <c r="M134" s="919"/>
      <c r="N134" s="919"/>
      <c r="O134" s="919"/>
      <c r="P134" s="919"/>
      <c r="Q134" s="613" t="s">
        <v>2832</v>
      </c>
      <c r="R134" s="874" t="s">
        <v>3144</v>
      </c>
      <c r="S134" s="874"/>
      <c r="T134" s="874"/>
      <c r="U134" s="874"/>
      <c r="V134" s="874"/>
      <c r="W134" s="874"/>
      <c r="X134" s="613" t="s">
        <v>2832</v>
      </c>
      <c r="Y134" s="874" t="s">
        <v>3145</v>
      </c>
      <c r="Z134" s="874"/>
      <c r="AA134" s="874"/>
      <c r="AB134" s="874"/>
      <c r="AC134" s="874"/>
      <c r="AD134" s="739"/>
      <c r="AE134" s="938"/>
      <c r="AF134" s="938"/>
      <c r="AG134" s="938"/>
      <c r="AH134" s="938"/>
      <c r="AI134" s="938"/>
      <c r="AJ134" s="554"/>
      <c r="AK134" s="554"/>
      <c r="AL134" s="555"/>
    </row>
    <row r="135" spans="1:38" ht="17.100000000000001" customHeight="1">
      <c r="A135" s="553"/>
      <c r="B135" s="889" t="s">
        <v>3239</v>
      </c>
      <c r="C135" s="890"/>
      <c r="D135" s="890"/>
      <c r="E135" s="890"/>
      <c r="F135" s="890"/>
      <c r="G135" s="890"/>
      <c r="H135" s="890"/>
      <c r="I135" s="901"/>
      <c r="J135" s="613" t="s">
        <v>2832</v>
      </c>
      <c r="K135" s="890" t="s">
        <v>3240</v>
      </c>
      <c r="L135" s="890"/>
      <c r="M135" s="890"/>
      <c r="N135" s="890"/>
      <c r="O135" s="890"/>
      <c r="P135" s="1015"/>
      <c r="Q135" s="613" t="s">
        <v>2832</v>
      </c>
      <c r="R135" s="890" t="s">
        <v>3241</v>
      </c>
      <c r="S135" s="890"/>
      <c r="T135" s="890"/>
      <c r="U135" s="890"/>
      <c r="V135" s="890"/>
      <c r="W135" s="566"/>
      <c r="X135" s="621" t="s">
        <v>2832</v>
      </c>
      <c r="Y135" s="890" t="s">
        <v>3149</v>
      </c>
      <c r="Z135" s="890"/>
      <c r="AA135" s="890"/>
      <c r="AB135" s="890"/>
      <c r="AC135" s="890"/>
      <c r="AD135" s="566"/>
      <c r="AE135" s="621" t="s">
        <v>2832</v>
      </c>
      <c r="AF135" s="874" t="s">
        <v>3150</v>
      </c>
      <c r="AG135" s="874"/>
      <c r="AH135" s="874"/>
      <c r="AI135" s="874"/>
      <c r="AJ135" s="874"/>
      <c r="AK135" s="737"/>
      <c r="AL135" s="622"/>
    </row>
    <row r="136" spans="1:38" ht="20.100000000000001" customHeight="1">
      <c r="A136" s="553"/>
      <c r="B136" s="889" t="s">
        <v>3242</v>
      </c>
      <c r="C136" s="890"/>
      <c r="D136" s="890"/>
      <c r="E136" s="890"/>
      <c r="F136" s="890"/>
      <c r="G136" s="890"/>
      <c r="H136" s="890"/>
      <c r="I136" s="901"/>
      <c r="J136" s="574"/>
      <c r="K136" s="1016"/>
      <c r="L136" s="1016"/>
      <c r="M136" s="1016"/>
      <c r="N136" s="566"/>
      <c r="O136" s="566" t="s">
        <v>3164</v>
      </c>
      <c r="P136" s="566"/>
      <c r="Q136" s="601"/>
      <c r="R136" s="1016"/>
      <c r="S136" s="1016"/>
      <c r="T136" s="1016"/>
      <c r="U136" s="566"/>
      <c r="V136" s="566" t="s">
        <v>3164</v>
      </c>
      <c r="W136" s="566"/>
      <c r="X136" s="601"/>
      <c r="Y136" s="1016"/>
      <c r="Z136" s="1016"/>
      <c r="AA136" s="1016"/>
      <c r="AB136" s="566"/>
      <c r="AC136" s="566" t="s">
        <v>3164</v>
      </c>
      <c r="AD136" s="566"/>
      <c r="AE136" s="603"/>
      <c r="AF136" s="1016"/>
      <c r="AG136" s="1016"/>
      <c r="AH136" s="1016"/>
      <c r="AI136" s="738"/>
      <c r="AJ136" s="738" t="s">
        <v>3164</v>
      </c>
      <c r="AK136" s="738"/>
      <c r="AL136" s="622"/>
    </row>
    <row r="137" spans="1:38" ht="27" customHeight="1">
      <c r="A137" s="553"/>
      <c r="B137" s="953" t="s">
        <v>3243</v>
      </c>
      <c r="C137" s="954"/>
      <c r="D137" s="954"/>
      <c r="E137" s="954"/>
      <c r="F137" s="954"/>
      <c r="G137" s="954"/>
      <c r="H137" s="954"/>
      <c r="I137" s="955"/>
      <c r="J137" s="1000"/>
      <c r="K137" s="1001"/>
      <c r="L137" s="1001"/>
      <c r="M137" s="1001"/>
      <c r="N137" s="566"/>
      <c r="O137" s="566" t="s">
        <v>2966</v>
      </c>
      <c r="P137" s="566"/>
      <c r="Q137" s="1018"/>
      <c r="R137" s="1001"/>
      <c r="S137" s="1001"/>
      <c r="T137" s="1001"/>
      <c r="U137" s="566"/>
      <c r="V137" s="566" t="s">
        <v>2966</v>
      </c>
      <c r="W137" s="566"/>
      <c r="X137" s="1018"/>
      <c r="Y137" s="1001"/>
      <c r="Z137" s="1001"/>
      <c r="AA137" s="1001"/>
      <c r="AB137" s="566"/>
      <c r="AC137" s="566" t="s">
        <v>2966</v>
      </c>
      <c r="AD137" s="566"/>
      <c r="AE137" s="1018"/>
      <c r="AF137" s="1001"/>
      <c r="AG137" s="1001"/>
      <c r="AH137" s="1001"/>
      <c r="AI137" s="566"/>
      <c r="AJ137" s="566" t="s">
        <v>2966</v>
      </c>
      <c r="AK137" s="566"/>
      <c r="AL137" s="622"/>
    </row>
    <row r="138" spans="1:38" ht="3.95" customHeight="1">
      <c r="A138" s="553"/>
      <c r="B138" s="594"/>
      <c r="C138" s="594"/>
      <c r="D138" s="594"/>
      <c r="E138" s="594"/>
      <c r="F138" s="594"/>
      <c r="G138" s="594"/>
      <c r="H138" s="594"/>
      <c r="I138" s="594"/>
      <c r="AJ138" s="554"/>
      <c r="AK138" s="554"/>
      <c r="AL138" s="555"/>
    </row>
    <row r="139" spans="1:38" ht="3.95" customHeight="1">
      <c r="A139" s="553"/>
      <c r="B139" s="594"/>
      <c r="C139" s="594"/>
      <c r="D139" s="594"/>
      <c r="E139" s="594"/>
      <c r="F139" s="594"/>
      <c r="G139" s="594"/>
      <c r="H139" s="594"/>
      <c r="I139" s="594"/>
      <c r="AJ139" s="554"/>
      <c r="AK139" s="554"/>
      <c r="AL139" s="555"/>
    </row>
    <row r="140" spans="1:38" ht="18" customHeight="1">
      <c r="A140" s="553"/>
      <c r="B140" s="889" t="s">
        <v>3210</v>
      </c>
      <c r="C140" s="890"/>
      <c r="D140" s="890"/>
      <c r="E140" s="890"/>
      <c r="F140" s="890"/>
      <c r="G140" s="890"/>
      <c r="H140" s="890"/>
      <c r="I140" s="890"/>
      <c r="J140" s="1009"/>
      <c r="K140" s="1010"/>
      <c r="L140" s="1010"/>
      <c r="M140" s="1010"/>
      <c r="N140" s="1010"/>
      <c r="O140" s="1010"/>
      <c r="P140" s="1011"/>
      <c r="Q140" s="618"/>
      <c r="R140" s="618"/>
      <c r="S140" s="618"/>
      <c r="T140" s="618"/>
      <c r="U140" s="618"/>
      <c r="V140" s="618"/>
      <c r="W140" s="618"/>
      <c r="X140" s="618"/>
      <c r="Y140" s="618"/>
      <c r="Z140" s="618"/>
      <c r="AA140" s="618"/>
      <c r="AB140" s="618"/>
      <c r="AC140" s="618"/>
      <c r="AD140" s="618"/>
      <c r="AE140" s="618"/>
      <c r="AF140" s="618"/>
      <c r="AG140" s="618"/>
      <c r="AH140" s="618"/>
      <c r="AI140" s="618"/>
      <c r="AJ140" s="554"/>
      <c r="AK140" s="554"/>
      <c r="AL140" s="555"/>
    </row>
    <row r="141" spans="1:38" ht="30.95" customHeight="1">
      <c r="A141" s="553"/>
      <c r="B141" s="950" t="s">
        <v>3228</v>
      </c>
      <c r="C141" s="951"/>
      <c r="D141" s="951"/>
      <c r="E141" s="951"/>
      <c r="F141" s="951"/>
      <c r="G141" s="951"/>
      <c r="H141" s="951"/>
      <c r="I141" s="952"/>
      <c r="J141" s="619" t="s">
        <v>2832</v>
      </c>
      <c r="K141" s="737" t="s">
        <v>3126</v>
      </c>
      <c r="L141" s="737"/>
      <c r="M141" s="737"/>
      <c r="N141" s="737"/>
      <c r="O141" s="738"/>
      <c r="P141" s="736" t="s">
        <v>2832</v>
      </c>
      <c r="Q141" s="747" t="s">
        <v>3127</v>
      </c>
      <c r="R141" s="741"/>
      <c r="S141" s="741"/>
      <c r="T141" s="738"/>
      <c r="U141" s="741"/>
      <c r="V141" s="741"/>
      <c r="W141" s="738"/>
      <c r="X141" s="741"/>
      <c r="Y141" s="741"/>
      <c r="Z141" s="739"/>
      <c r="AB141" s="554"/>
      <c r="AC141" s="554"/>
      <c r="AD141" s="554"/>
      <c r="AE141" s="554"/>
      <c r="AF141" s="554"/>
      <c r="AG141" s="554"/>
      <c r="AH141" s="554"/>
      <c r="AI141" s="554"/>
      <c r="AJ141" s="554"/>
      <c r="AK141" s="554"/>
      <c r="AL141" s="555"/>
    </row>
    <row r="142" spans="1:38" ht="17.100000000000001" customHeight="1">
      <c r="A142" s="553"/>
      <c r="B142" s="1003" t="s">
        <v>3229</v>
      </c>
      <c r="C142" s="972"/>
      <c r="D142" s="972"/>
      <c r="E142" s="972"/>
      <c r="F142" s="972"/>
      <c r="G142" s="972"/>
      <c r="H142" s="972"/>
      <c r="I142" s="1013"/>
      <c r="J142" s="619" t="s">
        <v>2832</v>
      </c>
      <c r="K142" s="738" t="s">
        <v>3129</v>
      </c>
      <c r="L142" s="738"/>
      <c r="M142" s="738"/>
      <c r="N142" s="738"/>
      <c r="O142" s="738"/>
      <c r="P142" s="738"/>
      <c r="Q142" s="738"/>
      <c r="R142" s="736" t="s">
        <v>2832</v>
      </c>
      <c r="S142" s="874" t="s">
        <v>3130</v>
      </c>
      <c r="T142" s="874"/>
      <c r="U142" s="874"/>
      <c r="V142" s="874"/>
      <c r="W142" s="874"/>
      <c r="X142" s="738"/>
      <c r="Y142" s="736" t="s">
        <v>2832</v>
      </c>
      <c r="Z142" s="874" t="s">
        <v>3131</v>
      </c>
      <c r="AA142" s="874"/>
      <c r="AB142" s="874"/>
      <c r="AC142" s="874"/>
      <c r="AD142" s="874"/>
      <c r="AE142" s="874"/>
      <c r="AF142" s="874"/>
      <c r="AG142" s="874"/>
      <c r="AH142" s="874"/>
      <c r="AI142" s="949"/>
      <c r="AJ142" s="554"/>
      <c r="AK142" s="554"/>
      <c r="AL142" s="555"/>
    </row>
    <row r="143" spans="1:38" ht="17.100000000000001" customHeight="1">
      <c r="A143" s="553"/>
      <c r="B143" s="1004"/>
      <c r="C143" s="1005"/>
      <c r="D143" s="1005"/>
      <c r="E143" s="1005"/>
      <c r="F143" s="1005"/>
      <c r="G143" s="1005"/>
      <c r="H143" s="1005"/>
      <c r="I143" s="1014"/>
      <c r="J143" s="613" t="s">
        <v>2832</v>
      </c>
      <c r="K143" s="891" t="s">
        <v>3132</v>
      </c>
      <c r="L143" s="891"/>
      <c r="M143" s="891"/>
      <c r="N143" s="891"/>
      <c r="O143" s="891"/>
      <c r="P143" s="891"/>
      <c r="Q143" s="891"/>
      <c r="R143" s="891"/>
      <c r="S143" s="569"/>
      <c r="T143" s="495" t="s">
        <v>2832</v>
      </c>
      <c r="U143" s="891" t="s">
        <v>3133</v>
      </c>
      <c r="V143" s="891"/>
      <c r="W143" s="891"/>
      <c r="X143" s="891"/>
      <c r="Y143" s="569"/>
      <c r="Z143" s="569"/>
      <c r="AA143" s="569"/>
      <c r="AB143" s="569"/>
      <c r="AC143" s="569"/>
      <c r="AD143" s="569"/>
      <c r="AE143" s="569"/>
      <c r="AF143" s="569"/>
      <c r="AG143" s="569"/>
      <c r="AH143" s="569"/>
      <c r="AI143" s="570"/>
      <c r="AJ143" s="554"/>
      <c r="AK143" s="554"/>
      <c r="AL143" s="555"/>
    </row>
    <row r="144" spans="1:38" ht="17.100000000000001" customHeight="1">
      <c r="A144" s="553"/>
      <c r="B144" s="918" t="s">
        <v>3230</v>
      </c>
      <c r="C144" s="919"/>
      <c r="D144" s="919"/>
      <c r="E144" s="919"/>
      <c r="F144" s="919"/>
      <c r="G144" s="919"/>
      <c r="H144" s="919"/>
      <c r="I144" s="920"/>
      <c r="J144" s="613" t="s">
        <v>2832</v>
      </c>
      <c r="K144" s="890" t="s">
        <v>3231</v>
      </c>
      <c r="L144" s="890"/>
      <c r="M144" s="890"/>
      <c r="N144" s="890"/>
      <c r="O144" s="890"/>
      <c r="P144" s="620"/>
      <c r="Q144" s="613" t="s">
        <v>2832</v>
      </c>
      <c r="R144" s="919" t="s">
        <v>3232</v>
      </c>
      <c r="S144" s="919"/>
      <c r="T144" s="919"/>
      <c r="U144" s="919"/>
      <c r="V144" s="919"/>
      <c r="W144" s="919"/>
      <c r="X144" s="613" t="s">
        <v>2832</v>
      </c>
      <c r="Y144" s="890" t="s">
        <v>3233</v>
      </c>
      <c r="Z144" s="890"/>
      <c r="AA144" s="890"/>
      <c r="AB144" s="890"/>
      <c r="AC144" s="890"/>
      <c r="AD144" s="901"/>
      <c r="AE144" s="554"/>
      <c r="AF144" s="554"/>
      <c r="AG144" s="554"/>
      <c r="AH144" s="554"/>
      <c r="AJ144" s="554"/>
      <c r="AK144" s="554"/>
      <c r="AL144" s="555"/>
    </row>
    <row r="145" spans="1:38" ht="17.100000000000001" customHeight="1">
      <c r="A145" s="553"/>
      <c r="B145" s="889" t="s">
        <v>3234</v>
      </c>
      <c r="C145" s="890"/>
      <c r="D145" s="890"/>
      <c r="E145" s="890"/>
      <c r="F145" s="890"/>
      <c r="G145" s="890"/>
      <c r="H145" s="890"/>
      <c r="I145" s="901"/>
      <c r="J145" s="613" t="s">
        <v>2832</v>
      </c>
      <c r="K145" s="890" t="s">
        <v>3235</v>
      </c>
      <c r="L145" s="890"/>
      <c r="M145" s="890"/>
      <c r="N145" s="890"/>
      <c r="O145" s="890"/>
      <c r="P145" s="620"/>
      <c r="Q145" s="613" t="s">
        <v>2832</v>
      </c>
      <c r="R145" s="890" t="s">
        <v>3236</v>
      </c>
      <c r="S145" s="890"/>
      <c r="T145" s="890"/>
      <c r="U145" s="890"/>
      <c r="V145" s="890"/>
      <c r="W145" s="890"/>
      <c r="X145" s="613" t="s">
        <v>2832</v>
      </c>
      <c r="Y145" s="919" t="s">
        <v>3237</v>
      </c>
      <c r="Z145" s="919"/>
      <c r="AA145" s="919"/>
      <c r="AB145" s="919"/>
      <c r="AC145" s="919"/>
      <c r="AD145" s="920"/>
      <c r="AE145" s="554"/>
      <c r="AF145" s="554"/>
      <c r="AG145" s="554"/>
      <c r="AH145" s="554"/>
      <c r="AJ145" s="554"/>
      <c r="AK145" s="554"/>
      <c r="AL145" s="555"/>
    </row>
    <row r="146" spans="1:38" ht="17.100000000000001" customHeight="1">
      <c r="A146" s="553"/>
      <c r="B146" s="889" t="s">
        <v>3238</v>
      </c>
      <c r="C146" s="890"/>
      <c r="D146" s="890"/>
      <c r="E146" s="890"/>
      <c r="F146" s="890"/>
      <c r="G146" s="890"/>
      <c r="H146" s="890"/>
      <c r="I146" s="901"/>
      <c r="J146" s="613" t="s">
        <v>2832</v>
      </c>
      <c r="K146" s="919" t="s">
        <v>3143</v>
      </c>
      <c r="L146" s="919"/>
      <c r="M146" s="919"/>
      <c r="N146" s="919"/>
      <c r="O146" s="919"/>
      <c r="P146" s="919"/>
      <c r="Q146" s="613" t="s">
        <v>2832</v>
      </c>
      <c r="R146" s="874" t="s">
        <v>3144</v>
      </c>
      <c r="S146" s="874"/>
      <c r="T146" s="874"/>
      <c r="U146" s="874"/>
      <c r="V146" s="874"/>
      <c r="W146" s="874"/>
      <c r="X146" s="613" t="s">
        <v>2832</v>
      </c>
      <c r="Y146" s="874" t="s">
        <v>3145</v>
      </c>
      <c r="Z146" s="874"/>
      <c r="AA146" s="874"/>
      <c r="AB146" s="874"/>
      <c r="AC146" s="874"/>
      <c r="AD146" s="739"/>
      <c r="AE146" s="938"/>
      <c r="AF146" s="938"/>
      <c r="AG146" s="938"/>
      <c r="AH146" s="938"/>
      <c r="AI146" s="938"/>
      <c r="AJ146" s="554"/>
      <c r="AK146" s="554"/>
      <c r="AL146" s="555"/>
    </row>
    <row r="147" spans="1:38" ht="17.100000000000001" customHeight="1">
      <c r="A147" s="553"/>
      <c r="B147" s="889" t="s">
        <v>3239</v>
      </c>
      <c r="C147" s="890"/>
      <c r="D147" s="890"/>
      <c r="E147" s="890"/>
      <c r="F147" s="890"/>
      <c r="G147" s="890"/>
      <c r="H147" s="890"/>
      <c r="I147" s="901"/>
      <c r="J147" s="613" t="s">
        <v>2832</v>
      </c>
      <c r="K147" s="890" t="s">
        <v>3240</v>
      </c>
      <c r="L147" s="890"/>
      <c r="M147" s="890"/>
      <c r="N147" s="890"/>
      <c r="O147" s="890"/>
      <c r="P147" s="1015"/>
      <c r="Q147" s="613" t="s">
        <v>2832</v>
      </c>
      <c r="R147" s="890" t="s">
        <v>3241</v>
      </c>
      <c r="S147" s="890"/>
      <c r="T147" s="890"/>
      <c r="U147" s="890"/>
      <c r="V147" s="890"/>
      <c r="W147" s="566"/>
      <c r="X147" s="621" t="s">
        <v>2832</v>
      </c>
      <c r="Y147" s="890" t="s">
        <v>3149</v>
      </c>
      <c r="Z147" s="890"/>
      <c r="AA147" s="890"/>
      <c r="AB147" s="890"/>
      <c r="AC147" s="890"/>
      <c r="AD147" s="566"/>
      <c r="AE147" s="621" t="s">
        <v>2832</v>
      </c>
      <c r="AF147" s="874" t="s">
        <v>3150</v>
      </c>
      <c r="AG147" s="874"/>
      <c r="AH147" s="874"/>
      <c r="AI147" s="874"/>
      <c r="AJ147" s="874"/>
      <c r="AK147" s="737"/>
      <c r="AL147" s="622"/>
    </row>
    <row r="148" spans="1:38" ht="20.100000000000001" customHeight="1">
      <c r="A148" s="553"/>
      <c r="B148" s="889" t="s">
        <v>3242</v>
      </c>
      <c r="C148" s="890"/>
      <c r="D148" s="890"/>
      <c r="E148" s="890"/>
      <c r="F148" s="890"/>
      <c r="G148" s="890"/>
      <c r="H148" s="890"/>
      <c r="I148" s="901"/>
      <c r="J148" s="574"/>
      <c r="K148" s="1016"/>
      <c r="L148" s="1016"/>
      <c r="M148" s="1016"/>
      <c r="N148" s="566"/>
      <c r="O148" s="566" t="s">
        <v>3164</v>
      </c>
      <c r="P148" s="566"/>
      <c r="Q148" s="601"/>
      <c r="R148" s="1016"/>
      <c r="S148" s="1016"/>
      <c r="T148" s="1016"/>
      <c r="U148" s="566"/>
      <c r="V148" s="566" t="s">
        <v>3164</v>
      </c>
      <c r="W148" s="566"/>
      <c r="X148" s="601"/>
      <c r="Y148" s="1016"/>
      <c r="Z148" s="1016"/>
      <c r="AA148" s="1016"/>
      <c r="AB148" s="566"/>
      <c r="AC148" s="566" t="s">
        <v>3164</v>
      </c>
      <c r="AD148" s="566"/>
      <c r="AE148" s="603"/>
      <c r="AF148" s="1016"/>
      <c r="AG148" s="1016"/>
      <c r="AH148" s="1016"/>
      <c r="AI148" s="738"/>
      <c r="AJ148" s="738" t="s">
        <v>3164</v>
      </c>
      <c r="AK148" s="738"/>
      <c r="AL148" s="622"/>
    </row>
    <row r="149" spans="1:38" ht="27" customHeight="1">
      <c r="A149" s="553"/>
      <c r="B149" s="944" t="s">
        <v>3243</v>
      </c>
      <c r="C149" s="945"/>
      <c r="D149" s="945"/>
      <c r="E149" s="945"/>
      <c r="F149" s="945"/>
      <c r="G149" s="945"/>
      <c r="H149" s="945"/>
      <c r="I149" s="1019"/>
      <c r="J149" s="1000"/>
      <c r="K149" s="1001"/>
      <c r="L149" s="1001"/>
      <c r="M149" s="1001"/>
      <c r="N149" s="566"/>
      <c r="O149" s="566" t="s">
        <v>2966</v>
      </c>
      <c r="P149" s="566"/>
      <c r="Q149" s="1018"/>
      <c r="R149" s="1001"/>
      <c r="S149" s="1001"/>
      <c r="T149" s="1001"/>
      <c r="U149" s="566"/>
      <c r="V149" s="566" t="s">
        <v>2966</v>
      </c>
      <c r="W149" s="566"/>
      <c r="X149" s="1018"/>
      <c r="Y149" s="1001"/>
      <c r="Z149" s="1001"/>
      <c r="AA149" s="1001"/>
      <c r="AB149" s="566"/>
      <c r="AC149" s="566" t="s">
        <v>2966</v>
      </c>
      <c r="AD149" s="566"/>
      <c r="AE149" s="1018"/>
      <c r="AF149" s="1001"/>
      <c r="AG149" s="1001"/>
      <c r="AH149" s="1001"/>
      <c r="AI149" s="566"/>
      <c r="AJ149" s="566" t="s">
        <v>2966</v>
      </c>
      <c r="AK149" s="566"/>
      <c r="AL149" s="622"/>
    </row>
    <row r="150" spans="1:38" ht="3.95" customHeight="1">
      <c r="A150" s="568"/>
      <c r="B150" s="583"/>
      <c r="C150" s="583"/>
      <c r="D150" s="583"/>
      <c r="E150" s="583"/>
      <c r="F150" s="583"/>
      <c r="G150" s="583"/>
      <c r="H150" s="583"/>
      <c r="I150" s="583"/>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69"/>
      <c r="AK150" s="569"/>
      <c r="AL150" s="570"/>
    </row>
    <row r="151" spans="1:38" ht="3.95" customHeight="1">
      <c r="A151" s="566"/>
      <c r="B151" s="593"/>
      <c r="C151" s="593"/>
      <c r="D151" s="593"/>
      <c r="E151" s="593"/>
      <c r="F151" s="593"/>
      <c r="G151" s="593"/>
      <c r="H151" s="593"/>
      <c r="I151" s="593"/>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566"/>
      <c r="AK151" s="566"/>
      <c r="AL151" s="566"/>
    </row>
    <row r="152" spans="1:38" ht="17.45" customHeight="1">
      <c r="A152" s="950" t="s">
        <v>3244</v>
      </c>
      <c r="B152" s="951"/>
      <c r="C152" s="951"/>
      <c r="D152" s="951"/>
      <c r="E152" s="951"/>
      <c r="F152" s="951"/>
      <c r="G152" s="951"/>
      <c r="H152" s="951"/>
      <c r="I152" s="951"/>
      <c r="J152" s="951"/>
      <c r="K152" s="951"/>
      <c r="L152" s="951"/>
      <c r="M152" s="951"/>
      <c r="N152" s="743"/>
      <c r="O152" s="743"/>
      <c r="P152" s="743"/>
      <c r="Q152" s="743"/>
      <c r="R152" s="743"/>
      <c r="S152" s="743"/>
      <c r="T152" s="743"/>
      <c r="U152" s="743"/>
      <c r="V152" s="743"/>
      <c r="W152" s="743"/>
      <c r="X152" s="743"/>
      <c r="Y152" s="743"/>
      <c r="Z152" s="743"/>
      <c r="AA152" s="743"/>
      <c r="AB152" s="743"/>
      <c r="AC152" s="743"/>
      <c r="AD152" s="743"/>
      <c r="AE152" s="743"/>
      <c r="AF152" s="743"/>
      <c r="AG152" s="743"/>
      <c r="AH152" s="743"/>
      <c r="AI152" s="743"/>
      <c r="AJ152" s="738"/>
      <c r="AK152" s="738"/>
      <c r="AL152" s="739"/>
    </row>
    <row r="153" spans="1:38" ht="20.100000000000001" customHeight="1">
      <c r="A153" s="553" t="s">
        <v>3245</v>
      </c>
      <c r="B153" s="889" t="s">
        <v>3246</v>
      </c>
      <c r="C153" s="890"/>
      <c r="D153" s="890"/>
      <c r="E153" s="890"/>
      <c r="F153" s="890"/>
      <c r="G153" s="890"/>
      <c r="H153" s="890"/>
      <c r="I153" s="890"/>
      <c r="J153" s="890"/>
      <c r="K153" s="901"/>
      <c r="L153" s="941"/>
      <c r="M153" s="942"/>
      <c r="N153" s="942"/>
      <c r="O153" s="942"/>
      <c r="P153" s="942"/>
      <c r="Q153" s="942"/>
      <c r="R153" s="942"/>
      <c r="S153" s="942"/>
      <c r="T153" s="568" t="s">
        <v>3208</v>
      </c>
      <c r="U153" s="569"/>
      <c r="V153" s="569"/>
      <c r="W153" s="569"/>
      <c r="X153" s="569"/>
      <c r="Y153" s="569"/>
      <c r="Z153" s="569"/>
      <c r="AA153" s="569"/>
      <c r="AB153" s="569"/>
      <c r="AC153" s="554"/>
      <c r="AD153" s="554"/>
      <c r="AE153" s="554"/>
      <c r="AF153" s="554"/>
      <c r="AG153" s="554"/>
      <c r="AH153" s="554"/>
      <c r="AI153" s="554"/>
      <c r="AJ153" s="554"/>
      <c r="AK153" s="554"/>
      <c r="AL153" s="555"/>
    </row>
    <row r="154" spans="1:38" ht="17.100000000000001" customHeight="1">
      <c r="A154" s="553" t="s">
        <v>3247</v>
      </c>
      <c r="B154" s="889" t="s">
        <v>3248</v>
      </c>
      <c r="C154" s="890"/>
      <c r="D154" s="890"/>
      <c r="E154" s="890"/>
      <c r="F154" s="890"/>
      <c r="G154" s="890"/>
      <c r="H154" s="890"/>
      <c r="I154" s="890"/>
      <c r="J154" s="890"/>
      <c r="K154" s="901"/>
      <c r="L154" s="613" t="s">
        <v>2832</v>
      </c>
      <c r="M154" s="566" t="s">
        <v>3249</v>
      </c>
      <c r="N154" s="566"/>
      <c r="O154" s="566"/>
      <c r="P154" s="566"/>
      <c r="Q154" s="566"/>
      <c r="R154" s="566"/>
      <c r="S154" s="566"/>
      <c r="T154" s="566"/>
      <c r="U154" s="566"/>
      <c r="V154" s="566"/>
      <c r="W154" s="566"/>
      <c r="X154" s="623" t="s">
        <v>2832</v>
      </c>
      <c r="Y154" s="557" t="s">
        <v>3127</v>
      </c>
      <c r="Z154" s="557"/>
      <c r="AA154" s="557"/>
      <c r="AB154" s="560"/>
      <c r="AC154" s="554"/>
      <c r="AD154" s="554"/>
      <c r="AE154" s="554"/>
      <c r="AF154" s="554"/>
      <c r="AG154" s="554"/>
      <c r="AH154" s="554"/>
      <c r="AI154" s="554"/>
      <c r="AJ154" s="554"/>
      <c r="AK154" s="554"/>
      <c r="AL154" s="555"/>
    </row>
    <row r="155" spans="1:38" ht="17.100000000000001" customHeight="1">
      <c r="A155" s="553" t="s">
        <v>3250</v>
      </c>
      <c r="B155" s="889" t="s">
        <v>3251</v>
      </c>
      <c r="C155" s="890"/>
      <c r="D155" s="890"/>
      <c r="E155" s="890"/>
      <c r="F155" s="890"/>
      <c r="G155" s="890"/>
      <c r="H155" s="890"/>
      <c r="I155" s="890"/>
      <c r="J155" s="890"/>
      <c r="K155" s="901"/>
      <c r="L155" s="613" t="s">
        <v>2832</v>
      </c>
      <c r="M155" s="557" t="s">
        <v>3252</v>
      </c>
      <c r="N155" s="557"/>
      <c r="O155" s="557"/>
      <c r="P155" s="557"/>
      <c r="Q155" s="566"/>
      <c r="R155" s="566"/>
      <c r="S155" s="566"/>
      <c r="T155" s="566"/>
      <c r="U155" s="566"/>
      <c r="V155" s="566"/>
      <c r="W155" s="566"/>
      <c r="X155" s="497" t="s">
        <v>2832</v>
      </c>
      <c r="Y155" s="557" t="s">
        <v>3127</v>
      </c>
      <c r="Z155" s="557"/>
      <c r="AA155" s="557"/>
      <c r="AB155" s="560"/>
      <c r="AC155" s="554"/>
      <c r="AD155" s="554"/>
      <c r="AE155" s="554"/>
      <c r="AF155" s="554"/>
      <c r="AG155" s="554"/>
      <c r="AH155" s="554"/>
      <c r="AI155" s="554"/>
      <c r="AJ155" s="554"/>
      <c r="AK155" s="554"/>
      <c r="AL155" s="555"/>
    </row>
    <row r="156" spans="1:38" ht="20.100000000000001" customHeight="1">
      <c r="A156" s="553" t="s">
        <v>3253</v>
      </c>
      <c r="B156" s="889" t="s">
        <v>3254</v>
      </c>
      <c r="C156" s="890"/>
      <c r="D156" s="890"/>
      <c r="E156" s="890"/>
      <c r="F156" s="890"/>
      <c r="G156" s="890"/>
      <c r="H156" s="890"/>
      <c r="I156" s="890"/>
      <c r="J156" s="890"/>
      <c r="K156" s="901"/>
      <c r="L156" s="1020"/>
      <c r="M156" s="985"/>
      <c r="N156" s="985"/>
      <c r="O156" s="985"/>
      <c r="P156" s="985"/>
      <c r="Q156" s="912" t="s">
        <v>3255</v>
      </c>
      <c r="R156" s="912"/>
      <c r="S156" s="624"/>
      <c r="Z156" s="625"/>
      <c r="AA156" s="625"/>
      <c r="AB156" s="625"/>
      <c r="AC156" s="625"/>
      <c r="AD156" s="625"/>
      <c r="AE156" s="625"/>
      <c r="AF156" s="625"/>
      <c r="AG156" s="625"/>
      <c r="AH156" s="625"/>
      <c r="AI156" s="625"/>
      <c r="AJ156" s="554"/>
      <c r="AK156" s="554"/>
      <c r="AL156" s="555"/>
    </row>
    <row r="157" spans="1:38" ht="20.45" customHeight="1">
      <c r="A157" s="553" t="s">
        <v>3256</v>
      </c>
      <c r="B157" s="889" t="s">
        <v>3257</v>
      </c>
      <c r="C157" s="890"/>
      <c r="D157" s="890"/>
      <c r="E157" s="890"/>
      <c r="F157" s="890"/>
      <c r="G157" s="890"/>
      <c r="H157" s="890"/>
      <c r="I157" s="890"/>
      <c r="J157" s="890"/>
      <c r="K157" s="901"/>
      <c r="L157" s="1020"/>
      <c r="M157" s="985"/>
      <c r="N157" s="985"/>
      <c r="O157" s="985"/>
      <c r="P157" s="985"/>
      <c r="Q157" s="912" t="s">
        <v>3164</v>
      </c>
      <c r="R157" s="912"/>
      <c r="S157" s="624"/>
      <c r="Z157" s="554"/>
      <c r="AA157" s="554"/>
      <c r="AB157" s="554"/>
      <c r="AC157" s="554"/>
      <c r="AD157" s="554"/>
      <c r="AE157" s="554"/>
      <c r="AF157" s="554"/>
      <c r="AG157" s="554"/>
      <c r="AH157" s="554"/>
      <c r="AI157" s="554"/>
      <c r="AJ157" s="554"/>
      <c r="AK157" s="554"/>
      <c r="AL157" s="555"/>
    </row>
    <row r="158" spans="1:38" ht="17.100000000000001" customHeight="1">
      <c r="A158" s="553" t="s">
        <v>3258</v>
      </c>
      <c r="B158" s="889" t="s">
        <v>3259</v>
      </c>
      <c r="C158" s="890"/>
      <c r="D158" s="890"/>
      <c r="E158" s="890"/>
      <c r="F158" s="890"/>
      <c r="G158" s="890"/>
      <c r="H158" s="890"/>
      <c r="I158" s="890"/>
      <c r="J158" s="890"/>
      <c r="K158" s="901"/>
      <c r="L158" s="613" t="s">
        <v>2832</v>
      </c>
      <c r="M158" s="890" t="s">
        <v>3147</v>
      </c>
      <c r="N158" s="890"/>
      <c r="O158" s="890"/>
      <c r="P158" s="890"/>
      <c r="Q158" s="623" t="s">
        <v>2832</v>
      </c>
      <c r="R158" s="890" t="s">
        <v>3148</v>
      </c>
      <c r="S158" s="890"/>
      <c r="T158" s="890"/>
      <c r="U158" s="890"/>
      <c r="V158" s="623" t="s">
        <v>2832</v>
      </c>
      <c r="W158" s="890" t="s">
        <v>3149</v>
      </c>
      <c r="X158" s="890"/>
      <c r="Y158" s="890"/>
      <c r="Z158" s="890"/>
      <c r="AA158" s="890"/>
      <c r="AB158" s="567"/>
      <c r="AC158" s="554"/>
      <c r="AD158" s="554"/>
      <c r="AE158" s="554"/>
      <c r="AF158" s="554"/>
      <c r="AG158" s="554"/>
      <c r="AH158" s="554"/>
      <c r="AI158" s="554"/>
      <c r="AJ158" s="554"/>
      <c r="AK158" s="554"/>
      <c r="AL158" s="555"/>
    </row>
    <row r="159" spans="1:38" ht="20.100000000000001" customHeight="1">
      <c r="A159" s="626"/>
      <c r="B159" s="918" t="s">
        <v>3260</v>
      </c>
      <c r="C159" s="919"/>
      <c r="D159" s="919"/>
      <c r="E159" s="919"/>
      <c r="F159" s="919"/>
      <c r="G159" s="919"/>
      <c r="H159" s="919"/>
      <c r="I159" s="919"/>
      <c r="J159" s="919"/>
      <c r="K159" s="920"/>
      <c r="L159" s="1020"/>
      <c r="M159" s="985"/>
      <c r="N159" s="985"/>
      <c r="O159" s="985"/>
      <c r="P159" s="985"/>
      <c r="Q159" s="912" t="s">
        <v>2966</v>
      </c>
      <c r="R159" s="912"/>
      <c r="S159" s="624"/>
      <c r="Z159" s="554"/>
      <c r="AA159" s="554"/>
      <c r="AB159" s="554"/>
      <c r="AC159" s="554"/>
      <c r="AD159" s="554"/>
      <c r="AE159" s="554"/>
      <c r="AF159" s="554"/>
      <c r="AG159" s="554"/>
      <c r="AH159" s="554"/>
      <c r="AI159" s="554"/>
      <c r="AJ159" s="554"/>
      <c r="AK159" s="554"/>
      <c r="AL159" s="555"/>
    </row>
    <row r="160" spans="1:38" ht="20.100000000000001" customHeight="1">
      <c r="A160" s="553" t="s">
        <v>3261</v>
      </c>
      <c r="B160" s="889" t="s">
        <v>3262</v>
      </c>
      <c r="C160" s="890"/>
      <c r="D160" s="890"/>
      <c r="E160" s="890"/>
      <c r="F160" s="890"/>
      <c r="G160" s="890"/>
      <c r="H160" s="890"/>
      <c r="I160" s="890"/>
      <c r="J160" s="890"/>
      <c r="K160" s="901"/>
      <c r="L160" s="1020"/>
      <c r="M160" s="985"/>
      <c r="N160" s="985"/>
      <c r="O160" s="985"/>
      <c r="P160" s="985"/>
      <c r="Q160" s="912" t="s">
        <v>3223</v>
      </c>
      <c r="R160" s="912"/>
      <c r="S160" s="624"/>
      <c r="Z160" s="554"/>
      <c r="AA160" s="554"/>
      <c r="AB160" s="554"/>
      <c r="AC160" s="554"/>
      <c r="AD160" s="554"/>
      <c r="AE160" s="554"/>
      <c r="AF160" s="554"/>
      <c r="AG160" s="554"/>
      <c r="AH160" s="554"/>
      <c r="AI160" s="554"/>
      <c r="AJ160" s="554"/>
      <c r="AK160" s="554"/>
      <c r="AL160" s="555"/>
    </row>
    <row r="161" spans="1:38" ht="3.6" customHeight="1">
      <c r="A161" s="577"/>
      <c r="B161" s="558"/>
      <c r="C161" s="558"/>
      <c r="D161" s="558"/>
      <c r="E161" s="558"/>
      <c r="F161" s="558"/>
      <c r="G161" s="558"/>
      <c r="H161" s="558"/>
      <c r="I161" s="558"/>
      <c r="J161" s="558"/>
      <c r="K161" s="558"/>
      <c r="L161" s="627"/>
      <c r="M161" s="627"/>
      <c r="N161" s="627"/>
      <c r="O161" s="627"/>
      <c r="P161" s="627"/>
      <c r="Q161" s="572"/>
      <c r="R161" s="572"/>
      <c r="S161" s="579"/>
      <c r="T161" s="579"/>
      <c r="U161" s="579"/>
      <c r="V161" s="579"/>
      <c r="W161" s="579"/>
      <c r="X161" s="579"/>
      <c r="Y161" s="579"/>
      <c r="Z161" s="569"/>
      <c r="AA161" s="569"/>
      <c r="AB161" s="569"/>
      <c r="AC161" s="569"/>
      <c r="AD161" s="569"/>
      <c r="AE161" s="569"/>
      <c r="AF161" s="569"/>
      <c r="AG161" s="569"/>
      <c r="AH161" s="569"/>
      <c r="AI161" s="569"/>
      <c r="AJ161" s="569"/>
      <c r="AK161" s="569"/>
      <c r="AL161" s="570"/>
    </row>
    <row r="162" spans="1:38" ht="3.95" customHeight="1">
      <c r="A162" s="738"/>
      <c r="B162" s="554"/>
      <c r="C162" s="554"/>
      <c r="D162" s="554"/>
      <c r="E162" s="554"/>
      <c r="F162" s="554"/>
      <c r="G162" s="554"/>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738"/>
    </row>
    <row r="163" spans="1:38" ht="15" customHeight="1"/>
    <row r="164" spans="1:38" ht="15" customHeight="1"/>
    <row r="165" spans="1:38" ht="15" customHeight="1"/>
    <row r="166" spans="1:38" ht="15" customHeight="1"/>
    <row r="167" spans="1:38" ht="15" customHeight="1"/>
    <row r="168" spans="1:38" ht="15" customHeight="1"/>
    <row r="169" spans="1:38" ht="15" customHeight="1"/>
    <row r="170" spans="1:38" ht="15" customHeight="1"/>
    <row r="171" spans="1:38" ht="15" customHeight="1"/>
    <row r="172" spans="1:38" ht="15" customHeight="1"/>
    <row r="173" spans="1:38" ht="15" customHeight="1"/>
    <row r="174" spans="1:38" ht="15" customHeight="1"/>
    <row r="175" spans="1:38" ht="15" customHeight="1"/>
    <row r="176" spans="1:38"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sheetData>
  <sheetProtection selectLockedCells="1"/>
  <mergeCells count="334">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A152:M152"/>
    <mergeCell ref="B153:K153"/>
    <mergeCell ref="L153:S153"/>
    <mergeCell ref="B154:K154"/>
    <mergeCell ref="B155:K155"/>
    <mergeCell ref="B156:K156"/>
    <mergeCell ref="L156:P156"/>
    <mergeCell ref="Q156:R156"/>
    <mergeCell ref="B148:I148"/>
    <mergeCell ref="K148:M148"/>
    <mergeCell ref="R148:T148"/>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B136:I136"/>
    <mergeCell ref="K136:M136"/>
    <mergeCell ref="R136:T136"/>
    <mergeCell ref="Y136:AA136"/>
    <mergeCell ref="AF136:AH136"/>
    <mergeCell ref="B137:I137"/>
    <mergeCell ref="J137:M137"/>
    <mergeCell ref="Q137:T137"/>
    <mergeCell ref="X137:AA137"/>
    <mergeCell ref="AE137:AH137"/>
    <mergeCell ref="B134:I134"/>
    <mergeCell ref="K134:P134"/>
    <mergeCell ref="R134:W134"/>
    <mergeCell ref="Y134:AC134"/>
    <mergeCell ref="AE134:AI134"/>
    <mergeCell ref="B135:I135"/>
    <mergeCell ref="K135:P135"/>
    <mergeCell ref="R135:V135"/>
    <mergeCell ref="Y135:AC135"/>
    <mergeCell ref="AF135:AJ13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24:I124"/>
    <mergeCell ref="K124:M124"/>
    <mergeCell ref="R124:T124"/>
    <mergeCell ref="Y124:AA124"/>
    <mergeCell ref="AF124:AH124"/>
    <mergeCell ref="B125:I125"/>
    <mergeCell ref="J125:M125"/>
    <mergeCell ref="Q125:T125"/>
    <mergeCell ref="X125:AA125"/>
    <mergeCell ref="AE125:AH125"/>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18:I119"/>
    <mergeCell ref="S118:W118"/>
    <mergeCell ref="Z118:AI118"/>
    <mergeCell ref="K119:R119"/>
    <mergeCell ref="U119:X119"/>
    <mergeCell ref="B120:I120"/>
    <mergeCell ref="K120:O120"/>
    <mergeCell ref="R120:W120"/>
    <mergeCell ref="Y120:AD12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K99:M99"/>
    <mergeCell ref="N99:Q99"/>
    <mergeCell ref="T99:V99"/>
    <mergeCell ref="W99:Z99"/>
    <mergeCell ref="AC99:AE99"/>
    <mergeCell ref="AF99:AI99"/>
    <mergeCell ref="K98:M98"/>
    <mergeCell ref="N98:R98"/>
    <mergeCell ref="T98:V98"/>
    <mergeCell ref="W98:AA98"/>
    <mergeCell ref="AC98:AE98"/>
    <mergeCell ref="AF98:AJ98"/>
    <mergeCell ref="AC97:AE97"/>
    <mergeCell ref="AF97:AI97"/>
    <mergeCell ref="AF94:AJ94"/>
    <mergeCell ref="K95:M95"/>
    <mergeCell ref="N95:Q95"/>
    <mergeCell ref="T95:V95"/>
    <mergeCell ref="W95:Z95"/>
    <mergeCell ref="AC95:AE95"/>
    <mergeCell ref="AF95:AI95"/>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B88:I89"/>
    <mergeCell ref="J88:R89"/>
    <mergeCell ref="S88:AA89"/>
    <mergeCell ref="AB88:AJ89"/>
    <mergeCell ref="B90:I90"/>
    <mergeCell ref="K90:O90"/>
    <mergeCell ref="P90:Q90"/>
    <mergeCell ref="T90:X90"/>
    <mergeCell ref="Y90:Z90"/>
    <mergeCell ref="AC90:AG90"/>
    <mergeCell ref="AH90:AI90"/>
    <mergeCell ref="B86:I87"/>
    <mergeCell ref="J86:R86"/>
    <mergeCell ref="S86:AA86"/>
    <mergeCell ref="AB86:AJ86"/>
    <mergeCell ref="K87:R87"/>
    <mergeCell ref="T87:AA87"/>
    <mergeCell ref="AC87:AJ87"/>
    <mergeCell ref="S84:AA84"/>
    <mergeCell ref="AB84:AJ84"/>
    <mergeCell ref="B85:I85"/>
    <mergeCell ref="J85:R85"/>
    <mergeCell ref="S85:AA85"/>
    <mergeCell ref="AB85:AJ85"/>
    <mergeCell ref="B73:I75"/>
    <mergeCell ref="A81:I81"/>
    <mergeCell ref="J81:R81"/>
    <mergeCell ref="A83:K83"/>
    <mergeCell ref="B84:I84"/>
    <mergeCell ref="J84:R84"/>
    <mergeCell ref="B65:I66"/>
    <mergeCell ref="B67:I68"/>
    <mergeCell ref="I71:N71"/>
    <mergeCell ref="R71:W71"/>
    <mergeCell ref="B72:I72"/>
    <mergeCell ref="J72:AJ72"/>
    <mergeCell ref="B61:I61"/>
    <mergeCell ref="K61:L61"/>
    <mergeCell ref="M61:O61"/>
    <mergeCell ref="Q61:S61"/>
    <mergeCell ref="U61:W61"/>
    <mergeCell ref="A64:F64"/>
    <mergeCell ref="A52:M52"/>
    <mergeCell ref="A53:AJ55"/>
    <mergeCell ref="A56:AJ56"/>
    <mergeCell ref="A59:O59"/>
    <mergeCell ref="B60:I60"/>
    <mergeCell ref="K60:L60"/>
    <mergeCell ref="M60:O60"/>
    <mergeCell ref="Q60:S60"/>
    <mergeCell ref="U60:W60"/>
    <mergeCell ref="D48:J48"/>
    <mergeCell ref="K48:AJ48"/>
    <mergeCell ref="D49:J49"/>
    <mergeCell ref="K49:O49"/>
    <mergeCell ref="Q49:U49"/>
    <mergeCell ref="W49:AB49"/>
    <mergeCell ref="D45:H45"/>
    <mergeCell ref="I45:M45"/>
    <mergeCell ref="O45:T45"/>
    <mergeCell ref="D46:H46"/>
    <mergeCell ref="I46:AJ46"/>
    <mergeCell ref="D47:H47"/>
    <mergeCell ref="I47:M47"/>
    <mergeCell ref="O47:S47"/>
    <mergeCell ref="U47:Z47"/>
    <mergeCell ref="D40:K40"/>
    <mergeCell ref="L40:AE40"/>
    <mergeCell ref="A42:M42"/>
    <mergeCell ref="D43:H43"/>
    <mergeCell ref="I43:AJ43"/>
    <mergeCell ref="D44:H44"/>
    <mergeCell ref="I44:AJ44"/>
    <mergeCell ref="AD38:AE38"/>
    <mergeCell ref="D39:K39"/>
    <mergeCell ref="L39:M39"/>
    <mergeCell ref="N39:Q39"/>
    <mergeCell ref="S39:V39"/>
    <mergeCell ref="X39:AA39"/>
    <mergeCell ref="D35:H35"/>
    <mergeCell ref="I35:Z35"/>
    <mergeCell ref="A37:M37"/>
    <mergeCell ref="D38:K38"/>
    <mergeCell ref="L38:N38"/>
    <mergeCell ref="O38:P38"/>
    <mergeCell ref="Q38:AC38"/>
    <mergeCell ref="D32:O32"/>
    <mergeCell ref="P32:AJ32"/>
    <mergeCell ref="D33:H33"/>
    <mergeCell ref="I33:T33"/>
    <mergeCell ref="D34:H34"/>
    <mergeCell ref="I34:AJ34"/>
    <mergeCell ref="D28:J28"/>
    <mergeCell ref="K28:O28"/>
    <mergeCell ref="Q28:U28"/>
    <mergeCell ref="W28:AB28"/>
    <mergeCell ref="D31:H31"/>
    <mergeCell ref="I31:AJ31"/>
    <mergeCell ref="D25:H25"/>
    <mergeCell ref="I25:AJ25"/>
    <mergeCell ref="D26:H26"/>
    <mergeCell ref="I26:Z26"/>
    <mergeCell ref="D27:J27"/>
    <mergeCell ref="K27:AJ27"/>
    <mergeCell ref="D22:H22"/>
    <mergeCell ref="I22:AJ22"/>
    <mergeCell ref="D23:O23"/>
    <mergeCell ref="P23:AJ23"/>
    <mergeCell ref="D24:H24"/>
    <mergeCell ref="I24:T24"/>
    <mergeCell ref="D17:H17"/>
    <mergeCell ref="I17:T17"/>
    <mergeCell ref="D18:H18"/>
    <mergeCell ref="I18:AJ18"/>
    <mergeCell ref="D19:H19"/>
    <mergeCell ref="I19:Z19"/>
    <mergeCell ref="AI10:AI11"/>
    <mergeCell ref="A12:L13"/>
    <mergeCell ref="M12:P13"/>
    <mergeCell ref="D14:H14"/>
    <mergeCell ref="A15:M15"/>
    <mergeCell ref="D16:H16"/>
    <mergeCell ref="I16:AJ16"/>
    <mergeCell ref="A1:M2"/>
    <mergeCell ref="A4:AJ5"/>
    <mergeCell ref="A6:AJ7"/>
    <mergeCell ref="A8:AJ9"/>
    <mergeCell ref="Y10:Z11"/>
    <mergeCell ref="AA10:AB11"/>
    <mergeCell ref="AC10:AC11"/>
    <mergeCell ref="AD10:AE11"/>
    <mergeCell ref="AF10:AF11"/>
    <mergeCell ref="AG10:AH11"/>
  </mergeCells>
  <phoneticPr fontId="116"/>
  <conditionalFormatting sqref="A152">
    <cfRule type="expression" dxfId="17" priority="22">
      <formula>#REF!&lt;&gt;""</formula>
    </cfRule>
  </conditionalFormatting>
  <conditionalFormatting sqref="B86 B90 B153:B160 A153:A161">
    <cfRule type="expression" dxfId="16" priority="23">
      <formula>#REF!&lt;&gt;""</formula>
    </cfRule>
  </conditionalFormatting>
  <conditionalFormatting sqref="B88">
    <cfRule type="expression" dxfId="15" priority="24">
      <formula>#REF!&lt;&gt;""</formula>
    </cfRule>
  </conditionalFormatting>
  <conditionalFormatting sqref="B91 B93:I93 B94 B100">
    <cfRule type="expression" dxfId="14" priority="25">
      <formula>#REF!&lt;&gt;""</formula>
    </cfRule>
  </conditionalFormatting>
  <conditionalFormatting sqref="B103">
    <cfRule type="expression" dxfId="13" priority="26">
      <formula>#REF!&lt;&gt;""</formula>
    </cfRule>
  </conditionalFormatting>
  <conditionalFormatting sqref="B105">
    <cfRule type="expression" dxfId="12" priority="27">
      <formula>#REF!&lt;&gt;""</formula>
    </cfRule>
  </conditionalFormatting>
  <conditionalFormatting sqref="B117:B118">
    <cfRule type="expression" dxfId="11" priority="18">
      <formula>#REF!&lt;&gt;""</formula>
    </cfRule>
  </conditionalFormatting>
  <conditionalFormatting sqref="B123:B124">
    <cfRule type="expression" dxfId="10" priority="20">
      <formula>#REF!&lt;&gt;""</formula>
    </cfRule>
  </conditionalFormatting>
  <conditionalFormatting sqref="B129:B130">
    <cfRule type="expression" dxfId="9" priority="10">
      <formula>#REF!&lt;&gt;""</formula>
    </cfRule>
  </conditionalFormatting>
  <conditionalFormatting sqref="B135:B136">
    <cfRule type="expression" dxfId="8" priority="15">
      <formula>#REF!&lt;&gt;""</formula>
    </cfRule>
  </conditionalFormatting>
  <conditionalFormatting sqref="B141:B142">
    <cfRule type="expression" dxfId="7" priority="9">
      <formula>#REF!&lt;&gt;""</formula>
    </cfRule>
  </conditionalFormatting>
  <conditionalFormatting sqref="B147:B148">
    <cfRule type="expression" dxfId="6" priority="12">
      <formula>#REF!&lt;&gt;""</formula>
    </cfRule>
  </conditionalFormatting>
  <conditionalFormatting sqref="B120:I122">
    <cfRule type="expression" dxfId="5" priority="19">
      <formula>#REF!&lt;&gt;""</formula>
    </cfRule>
  </conditionalFormatting>
  <conditionalFormatting sqref="B125:I127">
    <cfRule type="expression" dxfId="4" priority="17">
      <formula>#REF!&lt;&gt;""</formula>
    </cfRule>
  </conditionalFormatting>
  <conditionalFormatting sqref="B132:I134">
    <cfRule type="expression" dxfId="3" priority="14">
      <formula>#REF!&lt;&gt;""</formula>
    </cfRule>
  </conditionalFormatting>
  <conditionalFormatting sqref="B137:I139">
    <cfRule type="expression" dxfId="2" priority="21">
      <formula>#REF!&lt;&gt;""</formula>
    </cfRule>
  </conditionalFormatting>
  <conditionalFormatting sqref="B144:I146">
    <cfRule type="expression" dxfId="1" priority="11">
      <formula>#REF!&lt;&gt;""</formula>
    </cfRule>
  </conditionalFormatting>
  <conditionalFormatting sqref="B149:I151">
    <cfRule type="expression" dxfId="0" priority="13">
      <formula>#REF!&lt;&gt;""</formula>
    </cfRule>
  </conditionalFormatting>
  <conditionalFormatting sqref="R132:W135 Y132:AD135">
    <cfRule type="expression" priority="3">
      <formula>$T$84&lt;&gt;""</formula>
    </cfRule>
  </conditionalFormatting>
  <conditionalFormatting sqref="R144:W147 Y144:AD147">
    <cfRule type="expression" priority="1">
      <formula>$T$84&lt;&gt;""</formula>
    </cfRule>
  </conditionalFormatting>
  <conditionalFormatting sqref="AF135:AJ135 Q136:AJ137">
    <cfRule type="expression" priority="4">
      <formula>$T$84&lt;&gt;""</formula>
    </cfRule>
  </conditionalFormatting>
  <conditionalFormatting sqref="AF147:AJ147 Q148:AJ149">
    <cfRule type="expression" priority="2">
      <formula>$T$84&lt;&gt;""</formula>
    </cfRule>
  </conditionalFormatting>
  <conditionalFormatting sqref="AF123:AL123 Q124:AL125">
    <cfRule type="expression" priority="8">
      <formula>$T$84&lt;&gt;""</formula>
    </cfRule>
  </conditionalFormatting>
  <conditionalFormatting sqref="AK135:AL137">
    <cfRule type="expression" priority="6">
      <formula>$T$84&lt;&gt;""</formula>
    </cfRule>
  </conditionalFormatting>
  <conditionalFormatting sqref="AK147:AL149">
    <cfRule type="expression" priority="5">
      <formula>$T$84&lt;&gt;""</formula>
    </cfRule>
  </conditionalFormatting>
  <conditionalFormatting sqref="AM115:XFD143 R120:W123 Y120:AD123 AM150:XFD162">
    <cfRule type="expression" priority="7">
      <formula>$T$84&lt;&gt;""</formula>
    </cfRule>
  </conditionalFormatting>
  <conditionalFormatting sqref="AV144:XFD146 BA147:XFD149">
    <cfRule type="expression" priority="16">
      <formula>$T$84&lt;&gt;""</formula>
    </cfRule>
  </conditionalFormatting>
  <dataValidations count="10">
    <dataValidation type="list" operator="greaterThan" allowBlank="1" showInputMessage="1" showErrorMessage="1" sqref="N94:R94 N96:R96 N98:R98 W94:AA94 W96:AA96 W98:AA98 AF94:AJ94 AF96:AJ96 AF98:AJ98" xr:uid="{00000000-0002-0000-0D00-000000000000}">
      <formula1>工事届用用途コード_2410</formula1>
    </dataValidation>
    <dataValidation type="list" allowBlank="1" showInputMessage="1" showErrorMessage="1" sqref="J88:AJ89" xr:uid="{00000000-0002-0000-0D00-000001000000}">
      <formula1>工事届用構造コード_2410</formula1>
    </dataValidation>
    <dataValidation type="list" allowBlank="1" showInputMessage="1" showErrorMessage="1" sqref="J86:AJ86" xr:uid="{00000000-0002-0000-0D00-000002000000}">
      <formula1>工事届用用途コード_2410</formula1>
    </dataValidation>
    <dataValidation type="list" allowBlank="1" showInputMessage="1" showErrorMessage="1" sqref="J81:R81 L153:S153" xr:uid="{00000000-0002-0000-0D00-000003000000}">
      <formula1>工事届用主要用途_2410</formula1>
    </dataValidation>
    <dataValidation type="whole" allowBlank="1" showInputMessage="1" showErrorMessage="1" error="エラー07" sqref="K103:P103 T103:Y103 AC103:AH103" xr:uid="{00000000-0002-0000-0D00-000004000000}">
      <formula1>1</formula1>
      <formula2>100</formula2>
    </dataValidation>
    <dataValidation type="whole" allowBlank="1" showInputMessage="1" showErrorMessage="1" error="エラー77_x000a_" sqref="K105:P105 T105:Y105 AC105:AH105" xr:uid="{00000000-0002-0000-0D00-000005000000}">
      <formula1>0</formula1>
      <formula2>100</formula2>
    </dataValidation>
    <dataValidation type="decimal" operator="greaterThan" allowBlank="1" showInputMessage="1" showErrorMessage="1" sqref="K93:N93 L159:L161 T93:W93 AC93:AF93" xr:uid="{00000000-0002-0000-0D00-000006000000}">
      <formula1>0</formula1>
    </dataValidation>
    <dataValidation type="decimal" operator="greaterThan" allowBlank="1" showInputMessage="1" showErrorMessage="1" error="エラー08" sqref="AA109:AD109" xr:uid="{00000000-0002-0000-0D00-000007000000}">
      <formula1>0</formula1>
    </dataValidation>
    <dataValidation operator="greaterThan" allowBlank="1" showInputMessage="1" showErrorMessage="1" sqref="K94:K99 N95 N97 R95 R97 R99 T94:T99 AA95 AA97 AA99 AC94:AC99 AJ95 AJ97 AJ99" xr:uid="{00000000-0002-0000-0D00-000008000000}"/>
    <dataValidation type="list" allowBlank="1" showInputMessage="1" sqref="J65:J68 J87 J102 J117:J123 J129:J135 J141:J147 L154:L155 L158 P117 P129 P141 Q120:Q123 Q132:Q135 Q144:Q147 Q158 R65:R66 R118 R130 R142 S87 S102 T119 T131 T143 U67:U68 V158 X120:X123 X132:X135 X144:X147 X154:X155 Y118 Y130 Y142 AB65:AB66 AB87 AB102 AE68 AE123 AE135 AE147" xr:uid="{00000000-0002-0000-0D00-000009000000}">
      <formula1>"□,☑"</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55" max="16383" man="1"/>
    <brk id="111" max="16383"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F63"/>
  <sheetViews>
    <sheetView zoomScaleNormal="100" zoomScaleSheetLayoutView="110" workbookViewId="0"/>
  </sheetViews>
  <sheetFormatPr defaultColWidth="9.125" defaultRowHeight="13.5"/>
  <cols>
    <col min="1" max="13" width="1.625" style="32" customWidth="1"/>
    <col min="14" max="14" width="2.125" style="32" customWidth="1"/>
    <col min="15" max="67" width="1.625" style="32" customWidth="1"/>
    <col min="68" max="256" width="9" style="32" customWidth="1"/>
    <col min="257" max="269" width="1.625" style="32" customWidth="1"/>
    <col min="270" max="270" width="2.125" style="32" customWidth="1"/>
    <col min="271" max="323" width="1.625" style="32" customWidth="1"/>
    <col min="324" max="512" width="9" style="32" customWidth="1"/>
    <col min="513" max="525" width="1.625" style="32" customWidth="1"/>
    <col min="526" max="526" width="2.125" style="32" customWidth="1"/>
    <col min="527" max="579" width="1.625" style="32" customWidth="1"/>
    <col min="580" max="768" width="9" style="32" customWidth="1"/>
    <col min="769" max="781" width="1.625" style="32" customWidth="1"/>
    <col min="782" max="782" width="2.125" style="32" customWidth="1"/>
    <col min="783" max="835" width="1.625" style="32" customWidth="1"/>
    <col min="836" max="1024" width="9" style="32" customWidth="1"/>
    <col min="1025" max="1037" width="1.625" style="32" customWidth="1"/>
    <col min="1038" max="1038" width="2.125" style="32" customWidth="1"/>
    <col min="1039" max="1091" width="1.625" style="32" customWidth="1"/>
    <col min="1092" max="1280" width="9" style="32" customWidth="1"/>
    <col min="1281" max="1293" width="1.625" style="32" customWidth="1"/>
    <col min="1294" max="1294" width="2.125" style="32" customWidth="1"/>
    <col min="1295" max="1347" width="1.625" style="32" customWidth="1"/>
    <col min="1348" max="1536" width="9" style="32" customWidth="1"/>
    <col min="1537" max="1549" width="1.625" style="32" customWidth="1"/>
    <col min="1550" max="1550" width="2.125" style="32" customWidth="1"/>
    <col min="1551" max="1603" width="1.625" style="32" customWidth="1"/>
    <col min="1604" max="1792" width="9" style="32" customWidth="1"/>
    <col min="1793" max="1805" width="1.625" style="32" customWidth="1"/>
    <col min="1806" max="1806" width="2.125" style="32" customWidth="1"/>
    <col min="1807" max="1859" width="1.625" style="32" customWidth="1"/>
    <col min="1860" max="2048" width="9" style="32" customWidth="1"/>
    <col min="2049" max="2061" width="1.625" style="32" customWidth="1"/>
    <col min="2062" max="2062" width="2.125" style="32" customWidth="1"/>
    <col min="2063" max="2115" width="1.625" style="32" customWidth="1"/>
    <col min="2116" max="2304" width="9" style="32" customWidth="1"/>
    <col min="2305" max="2317" width="1.625" style="32" customWidth="1"/>
    <col min="2318" max="2318" width="2.125" style="32" customWidth="1"/>
    <col min="2319" max="2371" width="1.625" style="32" customWidth="1"/>
    <col min="2372" max="2560" width="9" style="32" customWidth="1"/>
    <col min="2561" max="2573" width="1.625" style="32" customWidth="1"/>
    <col min="2574" max="2574" width="2.125" style="32" customWidth="1"/>
    <col min="2575" max="2627" width="1.625" style="32" customWidth="1"/>
    <col min="2628" max="2816" width="9" style="32" customWidth="1"/>
    <col min="2817" max="2829" width="1.625" style="32" customWidth="1"/>
    <col min="2830" max="2830" width="2.125" style="32" customWidth="1"/>
    <col min="2831" max="2883" width="1.625" style="32" customWidth="1"/>
    <col min="2884" max="3072" width="9" style="32" customWidth="1"/>
    <col min="3073" max="3085" width="1.625" style="32" customWidth="1"/>
    <col min="3086" max="3086" width="2.125" style="32" customWidth="1"/>
    <col min="3087" max="3139" width="1.625" style="32" customWidth="1"/>
    <col min="3140" max="3328" width="9" style="32" customWidth="1"/>
    <col min="3329" max="3341" width="1.625" style="32" customWidth="1"/>
    <col min="3342" max="3342" width="2.125" style="32" customWidth="1"/>
    <col min="3343" max="3395" width="1.625" style="32" customWidth="1"/>
    <col min="3396" max="3584" width="9" style="32" customWidth="1"/>
    <col min="3585" max="3597" width="1.625" style="32" customWidth="1"/>
    <col min="3598" max="3598" width="2.125" style="32" customWidth="1"/>
    <col min="3599" max="3651" width="1.625" style="32" customWidth="1"/>
    <col min="3652" max="3840" width="9" style="32" customWidth="1"/>
    <col min="3841" max="3853" width="1.625" style="32" customWidth="1"/>
    <col min="3854" max="3854" width="2.125" style="32" customWidth="1"/>
    <col min="3855" max="3907" width="1.625" style="32" customWidth="1"/>
    <col min="3908" max="4096" width="9" style="32" customWidth="1"/>
    <col min="4097" max="4109" width="1.625" style="32" customWidth="1"/>
    <col min="4110" max="4110" width="2.125" style="32" customWidth="1"/>
    <col min="4111" max="4163" width="1.625" style="32" customWidth="1"/>
    <col min="4164" max="4352" width="9" style="32" customWidth="1"/>
    <col min="4353" max="4365" width="1.625" style="32" customWidth="1"/>
    <col min="4366" max="4366" width="2.125" style="32" customWidth="1"/>
    <col min="4367" max="4419" width="1.625" style="32" customWidth="1"/>
    <col min="4420" max="4608" width="9" style="32" customWidth="1"/>
    <col min="4609" max="4621" width="1.625" style="32" customWidth="1"/>
    <col min="4622" max="4622" width="2.125" style="32" customWidth="1"/>
    <col min="4623" max="4675" width="1.625" style="32" customWidth="1"/>
    <col min="4676" max="4864" width="9" style="32" customWidth="1"/>
    <col min="4865" max="4877" width="1.625" style="32" customWidth="1"/>
    <col min="4878" max="4878" width="2.125" style="32" customWidth="1"/>
    <col min="4879" max="4931" width="1.625" style="32" customWidth="1"/>
    <col min="4932" max="5120" width="9" style="32" customWidth="1"/>
    <col min="5121" max="5133" width="1.625" style="32" customWidth="1"/>
    <col min="5134" max="5134" width="2.125" style="32" customWidth="1"/>
    <col min="5135" max="5187" width="1.625" style="32" customWidth="1"/>
    <col min="5188" max="5376" width="9" style="32" customWidth="1"/>
    <col min="5377" max="5389" width="1.625" style="32" customWidth="1"/>
    <col min="5390" max="5390" width="2.125" style="32" customWidth="1"/>
    <col min="5391" max="5443" width="1.625" style="32" customWidth="1"/>
    <col min="5444" max="5632" width="9" style="32" customWidth="1"/>
    <col min="5633" max="5645" width="1.625" style="32" customWidth="1"/>
    <col min="5646" max="5646" width="2.125" style="32" customWidth="1"/>
    <col min="5647" max="5699" width="1.625" style="32" customWidth="1"/>
    <col min="5700" max="5888" width="9" style="32" customWidth="1"/>
    <col min="5889" max="5901" width="1.625" style="32" customWidth="1"/>
    <col min="5902" max="5902" width="2.125" style="32" customWidth="1"/>
    <col min="5903" max="5955" width="1.625" style="32" customWidth="1"/>
    <col min="5956" max="6144" width="9" style="32" customWidth="1"/>
    <col min="6145" max="6157" width="1.625" style="32" customWidth="1"/>
    <col min="6158" max="6158" width="2.125" style="32" customWidth="1"/>
    <col min="6159" max="6211" width="1.625" style="32" customWidth="1"/>
    <col min="6212" max="6400" width="9" style="32" customWidth="1"/>
    <col min="6401" max="6413" width="1.625" style="32" customWidth="1"/>
    <col min="6414" max="6414" width="2.125" style="32" customWidth="1"/>
    <col min="6415" max="6467" width="1.625" style="32" customWidth="1"/>
    <col min="6468" max="6656" width="9" style="32" customWidth="1"/>
    <col min="6657" max="6669" width="1.625" style="32" customWidth="1"/>
    <col min="6670" max="6670" width="2.125" style="32" customWidth="1"/>
    <col min="6671" max="6723" width="1.625" style="32" customWidth="1"/>
    <col min="6724" max="6912" width="9" style="32" customWidth="1"/>
    <col min="6913" max="6925" width="1.625" style="32" customWidth="1"/>
    <col min="6926" max="6926" width="2.125" style="32" customWidth="1"/>
    <col min="6927" max="6979" width="1.625" style="32" customWidth="1"/>
    <col min="6980" max="7168" width="9" style="32" customWidth="1"/>
    <col min="7169" max="7181" width="1.625" style="32" customWidth="1"/>
    <col min="7182" max="7182" width="2.125" style="32" customWidth="1"/>
    <col min="7183" max="7235" width="1.625" style="32" customWidth="1"/>
    <col min="7236" max="7424" width="9" style="32" customWidth="1"/>
    <col min="7425" max="7437" width="1.625" style="32" customWidth="1"/>
    <col min="7438" max="7438" width="2.125" style="32" customWidth="1"/>
    <col min="7439" max="7491" width="1.625" style="32" customWidth="1"/>
    <col min="7492" max="7680" width="9" style="32" customWidth="1"/>
    <col min="7681" max="7693" width="1.625" style="32" customWidth="1"/>
    <col min="7694" max="7694" width="2.125" style="32" customWidth="1"/>
    <col min="7695" max="7747" width="1.625" style="32" customWidth="1"/>
    <col min="7748" max="7936" width="9" style="32" customWidth="1"/>
    <col min="7937" max="7949" width="1.625" style="32" customWidth="1"/>
    <col min="7950" max="7950" width="2.125" style="32" customWidth="1"/>
    <col min="7951" max="8003" width="1.625" style="32" customWidth="1"/>
    <col min="8004" max="8192" width="9" style="32" customWidth="1"/>
    <col min="8193" max="8205" width="1.625" style="32" customWidth="1"/>
    <col min="8206" max="8206" width="2.125" style="32" customWidth="1"/>
    <col min="8207" max="8259" width="1.625" style="32" customWidth="1"/>
    <col min="8260" max="8448" width="9" style="32" customWidth="1"/>
    <col min="8449" max="8461" width="1.625" style="32" customWidth="1"/>
    <col min="8462" max="8462" width="2.125" style="32" customWidth="1"/>
    <col min="8463" max="8515" width="1.625" style="32" customWidth="1"/>
    <col min="8516" max="8704" width="9" style="32" customWidth="1"/>
    <col min="8705" max="8717" width="1.625" style="32" customWidth="1"/>
    <col min="8718" max="8718" width="2.125" style="32" customWidth="1"/>
    <col min="8719" max="8771" width="1.625" style="32" customWidth="1"/>
    <col min="8772" max="8960" width="9" style="32" customWidth="1"/>
    <col min="8961" max="8973" width="1.625" style="32" customWidth="1"/>
    <col min="8974" max="8974" width="2.125" style="32" customWidth="1"/>
    <col min="8975" max="9027" width="1.625" style="32" customWidth="1"/>
    <col min="9028" max="9216" width="9" style="32" customWidth="1"/>
    <col min="9217" max="9229" width="1.625" style="32" customWidth="1"/>
    <col min="9230" max="9230" width="2.125" style="32" customWidth="1"/>
    <col min="9231" max="9283" width="1.625" style="32" customWidth="1"/>
    <col min="9284" max="9472" width="9" style="32" customWidth="1"/>
    <col min="9473" max="9485" width="1.625" style="32" customWidth="1"/>
    <col min="9486" max="9486" width="2.125" style="32" customWidth="1"/>
    <col min="9487" max="9539" width="1.625" style="32" customWidth="1"/>
    <col min="9540" max="9728" width="9" style="32" customWidth="1"/>
    <col min="9729" max="9741" width="1.625" style="32" customWidth="1"/>
    <col min="9742" max="9742" width="2.125" style="32" customWidth="1"/>
    <col min="9743" max="9795" width="1.625" style="32" customWidth="1"/>
    <col min="9796" max="9984" width="9" style="32" customWidth="1"/>
    <col min="9985" max="9997" width="1.625" style="32" customWidth="1"/>
    <col min="9998" max="9998" width="2.125" style="32" customWidth="1"/>
    <col min="9999" max="10051" width="1.625" style="32" customWidth="1"/>
    <col min="10052" max="10240" width="9" style="32" customWidth="1"/>
    <col min="10241" max="10253" width="1.625" style="32" customWidth="1"/>
    <col min="10254" max="10254" width="2.125" style="32" customWidth="1"/>
    <col min="10255" max="10307" width="1.625" style="32" customWidth="1"/>
    <col min="10308" max="10496" width="9" style="32" customWidth="1"/>
    <col min="10497" max="10509" width="1.625" style="32" customWidth="1"/>
    <col min="10510" max="10510" width="2.125" style="32" customWidth="1"/>
    <col min="10511" max="10563" width="1.625" style="32" customWidth="1"/>
    <col min="10564" max="10752" width="9" style="32" customWidth="1"/>
    <col min="10753" max="10765" width="1.625" style="32" customWidth="1"/>
    <col min="10766" max="10766" width="2.125" style="32" customWidth="1"/>
    <col min="10767" max="10819" width="1.625" style="32" customWidth="1"/>
    <col min="10820" max="11008" width="9" style="32" customWidth="1"/>
    <col min="11009" max="11021" width="1.625" style="32" customWidth="1"/>
    <col min="11022" max="11022" width="2.125" style="32" customWidth="1"/>
    <col min="11023" max="11075" width="1.625" style="32" customWidth="1"/>
    <col min="11076" max="11264" width="9" style="32" customWidth="1"/>
    <col min="11265" max="11277" width="1.625" style="32" customWidth="1"/>
    <col min="11278" max="11278" width="2.125" style="32" customWidth="1"/>
    <col min="11279" max="11331" width="1.625" style="32" customWidth="1"/>
    <col min="11332" max="11520" width="9" style="32" customWidth="1"/>
    <col min="11521" max="11533" width="1.625" style="32" customWidth="1"/>
    <col min="11534" max="11534" width="2.125" style="32" customWidth="1"/>
    <col min="11535" max="11587" width="1.625" style="32" customWidth="1"/>
    <col min="11588" max="11776" width="9" style="32" customWidth="1"/>
    <col min="11777" max="11789" width="1.625" style="32" customWidth="1"/>
    <col min="11790" max="11790" width="2.125" style="32" customWidth="1"/>
    <col min="11791" max="11843" width="1.625" style="32" customWidth="1"/>
    <col min="11844" max="12032" width="9" style="32" customWidth="1"/>
    <col min="12033" max="12045" width="1.625" style="32" customWidth="1"/>
    <col min="12046" max="12046" width="2.125" style="32" customWidth="1"/>
    <col min="12047" max="12099" width="1.625" style="32" customWidth="1"/>
    <col min="12100" max="12288" width="9" style="32" customWidth="1"/>
    <col min="12289" max="12301" width="1.625" style="32" customWidth="1"/>
    <col min="12302" max="12302" width="2.125" style="32" customWidth="1"/>
    <col min="12303" max="12355" width="1.625" style="32" customWidth="1"/>
    <col min="12356" max="12544" width="9" style="32" customWidth="1"/>
    <col min="12545" max="12557" width="1.625" style="32" customWidth="1"/>
    <col min="12558" max="12558" width="2.125" style="32" customWidth="1"/>
    <col min="12559" max="12611" width="1.625" style="32" customWidth="1"/>
    <col min="12612" max="12800" width="9" style="32" customWidth="1"/>
    <col min="12801" max="12813" width="1.625" style="32" customWidth="1"/>
    <col min="12814" max="12814" width="2.125" style="32" customWidth="1"/>
    <col min="12815" max="12867" width="1.625" style="32" customWidth="1"/>
    <col min="12868" max="13056" width="9" style="32" customWidth="1"/>
    <col min="13057" max="13069" width="1.625" style="32" customWidth="1"/>
    <col min="13070" max="13070" width="2.125" style="32" customWidth="1"/>
    <col min="13071" max="13123" width="1.625" style="32" customWidth="1"/>
    <col min="13124" max="13312" width="9" style="32" customWidth="1"/>
    <col min="13313" max="13325" width="1.625" style="32" customWidth="1"/>
    <col min="13326" max="13326" width="2.125" style="32" customWidth="1"/>
    <col min="13327" max="13379" width="1.625" style="32" customWidth="1"/>
    <col min="13380" max="13568" width="9" style="32" customWidth="1"/>
    <col min="13569" max="13581" width="1.625" style="32" customWidth="1"/>
    <col min="13582" max="13582" width="2.125" style="32" customWidth="1"/>
    <col min="13583" max="13635" width="1.625" style="32" customWidth="1"/>
    <col min="13636" max="13824" width="9" style="32" customWidth="1"/>
    <col min="13825" max="13837" width="1.625" style="32" customWidth="1"/>
    <col min="13838" max="13838" width="2.125" style="32" customWidth="1"/>
    <col min="13839" max="13891" width="1.625" style="32" customWidth="1"/>
    <col min="13892" max="14080" width="9" style="32" customWidth="1"/>
    <col min="14081" max="14093" width="1.625" style="32" customWidth="1"/>
    <col min="14094" max="14094" width="2.125" style="32" customWidth="1"/>
    <col min="14095" max="14147" width="1.625" style="32" customWidth="1"/>
    <col min="14148" max="14336" width="9" style="32" customWidth="1"/>
    <col min="14337" max="14349" width="1.625" style="32" customWidth="1"/>
    <col min="14350" max="14350" width="2.125" style="32" customWidth="1"/>
    <col min="14351" max="14403" width="1.625" style="32" customWidth="1"/>
    <col min="14404" max="14592" width="9" style="32" customWidth="1"/>
    <col min="14593" max="14605" width="1.625" style="32" customWidth="1"/>
    <col min="14606" max="14606" width="2.125" style="32" customWidth="1"/>
    <col min="14607" max="14659" width="1.625" style="32" customWidth="1"/>
    <col min="14660" max="14848" width="9" style="32" customWidth="1"/>
    <col min="14849" max="14861" width="1.625" style="32" customWidth="1"/>
    <col min="14862" max="14862" width="2.125" style="32" customWidth="1"/>
    <col min="14863" max="14915" width="1.625" style="32" customWidth="1"/>
    <col min="14916" max="15104" width="9" style="32" customWidth="1"/>
    <col min="15105" max="15117" width="1.625" style="32" customWidth="1"/>
    <col min="15118" max="15118" width="2.125" style="32" customWidth="1"/>
    <col min="15119" max="15171" width="1.625" style="32" customWidth="1"/>
    <col min="15172" max="15360" width="9" style="32" customWidth="1"/>
    <col min="15361" max="15373" width="1.625" style="32" customWidth="1"/>
    <col min="15374" max="15374" width="2.125" style="32" customWidth="1"/>
    <col min="15375" max="15427" width="1.625" style="32" customWidth="1"/>
    <col min="15428" max="15616" width="9" style="32" customWidth="1"/>
    <col min="15617" max="15629" width="1.625" style="32" customWidth="1"/>
    <col min="15630" max="15630" width="2.125" style="32" customWidth="1"/>
    <col min="15631" max="15683" width="1.625" style="32" customWidth="1"/>
    <col min="15684" max="15872" width="9" style="32" customWidth="1"/>
    <col min="15873" max="15885" width="1.625" style="32" customWidth="1"/>
    <col min="15886" max="15886" width="2.125" style="32" customWidth="1"/>
    <col min="15887" max="15939" width="1.625" style="32" customWidth="1"/>
    <col min="15940" max="16128" width="9" style="32" customWidth="1"/>
    <col min="16129" max="16141" width="1.625" style="32" customWidth="1"/>
    <col min="16142" max="16142" width="2.125" style="32" customWidth="1"/>
    <col min="16143" max="16195" width="1.625" style="32" customWidth="1"/>
    <col min="16196" max="16384" width="9" style="32" customWidth="1"/>
  </cols>
  <sheetData>
    <row r="1" spans="1:58" s="247" customFormat="1" ht="14.25" customHeight="1">
      <c r="AE1" s="1021" t="str">
        <f ca="1">cst_ISSUE_NO_select</f>
        <v/>
      </c>
      <c r="AF1" s="1021"/>
      <c r="AG1" s="1021"/>
      <c r="AH1" s="1021"/>
      <c r="AI1" s="1021"/>
      <c r="AJ1" s="1021"/>
      <c r="AK1" s="1021"/>
      <c r="AL1" s="1021"/>
      <c r="AM1" s="1021"/>
      <c r="AN1" s="1021"/>
      <c r="AO1" s="1021"/>
      <c r="AP1" s="1021"/>
      <c r="AQ1" s="1021"/>
      <c r="AR1" s="1021"/>
      <c r="AS1" s="1021"/>
      <c r="AT1" s="1021"/>
      <c r="AU1" s="1021"/>
      <c r="AV1" s="1021"/>
      <c r="AW1" s="1021"/>
      <c r="AX1" s="1021"/>
      <c r="AY1" s="1021"/>
      <c r="AZ1" s="1021"/>
      <c r="BA1" s="1021"/>
      <c r="BB1" s="1021"/>
      <c r="BC1" s="1021"/>
      <c r="BD1" s="1021"/>
      <c r="BE1" s="1021"/>
    </row>
    <row r="2" spans="1:58" s="247" customFormat="1" ht="14.25" customHeight="1">
      <c r="A2" s="1022" t="s">
        <v>3155</v>
      </c>
      <c r="B2" s="1022"/>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1022"/>
      <c r="BA2" s="1022"/>
      <c r="BB2" s="1022"/>
      <c r="BC2" s="1022"/>
      <c r="BD2" s="1022"/>
      <c r="BE2" s="1022"/>
    </row>
    <row r="3" spans="1:58" s="247" customFormat="1" ht="14.25" customHeight="1">
      <c r="B3" s="33"/>
      <c r="C3" s="33"/>
      <c r="E3" s="284" t="s">
        <v>3263</v>
      </c>
      <c r="F3" s="284"/>
      <c r="G3" s="284"/>
      <c r="H3" s="284"/>
      <c r="I3" s="284"/>
      <c r="J3" s="284"/>
      <c r="K3" s="284"/>
      <c r="L3" s="284"/>
      <c r="M3" s="284"/>
      <c r="N3" s="284"/>
      <c r="O3" s="284"/>
      <c r="P3" s="284"/>
      <c r="Q3" s="284"/>
      <c r="R3" s="284"/>
      <c r="S3" s="285"/>
      <c r="T3" s="284"/>
      <c r="U3" s="285"/>
      <c r="V3" s="284"/>
      <c r="W3" s="284"/>
      <c r="X3" s="284"/>
      <c r="Y3" s="284"/>
      <c r="Z3" s="284"/>
      <c r="AA3" s="286"/>
      <c r="AB3" s="285"/>
      <c r="AC3" s="285"/>
      <c r="AD3" s="285"/>
      <c r="AE3" s="285"/>
      <c r="AF3" s="285"/>
      <c r="AG3" s="287"/>
      <c r="AH3" s="287"/>
      <c r="AI3" s="285"/>
      <c r="AJ3" s="285"/>
      <c r="AK3" s="285"/>
      <c r="AL3" s="285"/>
      <c r="AM3" s="285"/>
      <c r="AN3" s="285"/>
      <c r="AO3" s="285"/>
      <c r="AP3" s="285"/>
      <c r="AQ3" s="285"/>
      <c r="AR3" s="285"/>
      <c r="AS3" s="285"/>
      <c r="AT3" s="285"/>
      <c r="AU3" s="285"/>
      <c r="AV3" s="285"/>
      <c r="AW3" s="285"/>
      <c r="AX3" s="285"/>
      <c r="AY3" s="285"/>
      <c r="AZ3" s="285"/>
      <c r="BA3" s="285"/>
      <c r="BB3" s="285"/>
      <c r="BC3" s="285"/>
      <c r="BD3" s="288"/>
      <c r="BE3" s="33"/>
      <c r="BF3" s="33"/>
    </row>
    <row r="4" spans="1:58" s="247" customFormat="1" ht="14.25" customHeight="1">
      <c r="E4" s="1023"/>
      <c r="F4" s="1024"/>
      <c r="G4" s="1024"/>
      <c r="H4" s="1024"/>
      <c r="I4" s="1024"/>
      <c r="J4" s="1024"/>
      <c r="K4" s="1024"/>
      <c r="L4" s="1024"/>
      <c r="M4" s="1024"/>
      <c r="N4" s="1024"/>
      <c r="O4" s="1025"/>
      <c r="P4" s="1032" t="s">
        <v>3264</v>
      </c>
      <c r="Q4" s="1032"/>
      <c r="R4" s="1032"/>
      <c r="S4" s="1032"/>
      <c r="T4" s="1032"/>
      <c r="U4" s="1032"/>
      <c r="V4" s="1033" t="s">
        <v>3265</v>
      </c>
      <c r="W4" s="1033"/>
      <c r="X4" s="1033"/>
      <c r="Y4" s="1033"/>
      <c r="Z4" s="1033"/>
      <c r="AA4" s="1033"/>
      <c r="AB4" s="1034" t="s">
        <v>3266</v>
      </c>
      <c r="AC4" s="1034"/>
      <c r="AD4" s="1034"/>
      <c r="AE4" s="1034"/>
      <c r="AF4" s="1034"/>
      <c r="AG4" s="1034"/>
      <c r="AH4" s="1034" t="s">
        <v>3267</v>
      </c>
      <c r="AI4" s="1034"/>
      <c r="AJ4" s="1034"/>
      <c r="AK4" s="1034"/>
      <c r="AL4" s="1034"/>
      <c r="AM4" s="1034"/>
      <c r="AN4" s="1034"/>
      <c r="AO4" s="1033" t="s">
        <v>3268</v>
      </c>
      <c r="AP4" s="1033"/>
      <c r="AQ4" s="1033"/>
      <c r="AR4" s="1033"/>
      <c r="AS4" s="1033"/>
      <c r="AT4" s="1033"/>
      <c r="AU4" s="1035" t="s">
        <v>3269</v>
      </c>
      <c r="AV4" s="1036"/>
      <c r="AW4" s="1036"/>
      <c r="AX4" s="1036"/>
      <c r="AY4" s="1036"/>
      <c r="AZ4" s="1036"/>
      <c r="BA4" s="1036"/>
      <c r="BB4" s="1036"/>
      <c r="BC4" s="1037"/>
    </row>
    <row r="5" spans="1:58" s="247" customFormat="1" ht="14.25" customHeight="1">
      <c r="E5" s="1026"/>
      <c r="F5" s="1027"/>
      <c r="G5" s="1027"/>
      <c r="H5" s="1027"/>
      <c r="I5" s="1027"/>
      <c r="J5" s="1027"/>
      <c r="K5" s="1027"/>
      <c r="L5" s="1027"/>
      <c r="M5" s="1027"/>
      <c r="N5" s="1027"/>
      <c r="O5" s="1028"/>
      <c r="P5" s="1032"/>
      <c r="Q5" s="1032"/>
      <c r="R5" s="1032"/>
      <c r="S5" s="1032"/>
      <c r="T5" s="1032"/>
      <c r="U5" s="1032"/>
      <c r="V5" s="1033"/>
      <c r="W5" s="1033"/>
      <c r="X5" s="1033"/>
      <c r="Y5" s="1033"/>
      <c r="Z5" s="1033"/>
      <c r="AA5" s="1033"/>
      <c r="AB5" s="1034"/>
      <c r="AC5" s="1034"/>
      <c r="AD5" s="1034"/>
      <c r="AE5" s="1034"/>
      <c r="AF5" s="1034"/>
      <c r="AG5" s="1034"/>
      <c r="AH5" s="1034"/>
      <c r="AI5" s="1034"/>
      <c r="AJ5" s="1034"/>
      <c r="AK5" s="1034"/>
      <c r="AL5" s="1034"/>
      <c r="AM5" s="1034"/>
      <c r="AN5" s="1034"/>
      <c r="AO5" s="1033"/>
      <c r="AP5" s="1033"/>
      <c r="AQ5" s="1033"/>
      <c r="AR5" s="1033"/>
      <c r="AS5" s="1033"/>
      <c r="AT5" s="1033"/>
      <c r="AU5" s="1038"/>
      <c r="AV5" s="1039"/>
      <c r="AW5" s="1039"/>
      <c r="AX5" s="1039"/>
      <c r="AY5" s="1039"/>
      <c r="AZ5" s="1039"/>
      <c r="BA5" s="1039"/>
      <c r="BB5" s="1039"/>
      <c r="BC5" s="1040"/>
    </row>
    <row r="6" spans="1:58" s="247" customFormat="1" ht="14.25" customHeight="1">
      <c r="E6" s="1026"/>
      <c r="F6" s="1027"/>
      <c r="G6" s="1027"/>
      <c r="H6" s="1027"/>
      <c r="I6" s="1027"/>
      <c r="J6" s="1027"/>
      <c r="K6" s="1027"/>
      <c r="L6" s="1027"/>
      <c r="M6" s="1027"/>
      <c r="N6" s="1027"/>
      <c r="O6" s="1028"/>
      <c r="P6" s="1032"/>
      <c r="Q6" s="1032"/>
      <c r="R6" s="1032"/>
      <c r="S6" s="1032"/>
      <c r="T6" s="1032"/>
      <c r="U6" s="1032"/>
      <c r="V6" s="1033"/>
      <c r="W6" s="1033"/>
      <c r="X6" s="1033"/>
      <c r="Y6" s="1033"/>
      <c r="Z6" s="1033"/>
      <c r="AA6" s="1033"/>
      <c r="AB6" s="1034"/>
      <c r="AC6" s="1034"/>
      <c r="AD6" s="1034"/>
      <c r="AE6" s="1034"/>
      <c r="AF6" s="1034"/>
      <c r="AG6" s="1034"/>
      <c r="AH6" s="1034"/>
      <c r="AI6" s="1034"/>
      <c r="AJ6" s="1034"/>
      <c r="AK6" s="1034"/>
      <c r="AL6" s="1034"/>
      <c r="AM6" s="1034"/>
      <c r="AN6" s="1034"/>
      <c r="AO6" s="1033"/>
      <c r="AP6" s="1033"/>
      <c r="AQ6" s="1033"/>
      <c r="AR6" s="1033"/>
      <c r="AS6" s="1033"/>
      <c r="AT6" s="1033"/>
      <c r="AU6" s="1038"/>
      <c r="AV6" s="1039"/>
      <c r="AW6" s="1039"/>
      <c r="AX6" s="1039"/>
      <c r="AY6" s="1039"/>
      <c r="AZ6" s="1039"/>
      <c r="BA6" s="1039"/>
      <c r="BB6" s="1039"/>
      <c r="BC6" s="1040"/>
    </row>
    <row r="7" spans="1:58" s="247" customFormat="1" ht="14.25" customHeight="1">
      <c r="E7" s="1026"/>
      <c r="F7" s="1027"/>
      <c r="G7" s="1027"/>
      <c r="H7" s="1027"/>
      <c r="I7" s="1027"/>
      <c r="J7" s="1027"/>
      <c r="K7" s="1027"/>
      <c r="L7" s="1027"/>
      <c r="M7" s="1027"/>
      <c r="N7" s="1027"/>
      <c r="O7" s="1028"/>
      <c r="P7" s="1032"/>
      <c r="Q7" s="1032"/>
      <c r="R7" s="1032"/>
      <c r="S7" s="1032"/>
      <c r="T7" s="1032"/>
      <c r="U7" s="1032"/>
      <c r="V7" s="1033"/>
      <c r="W7" s="1033"/>
      <c r="X7" s="1033"/>
      <c r="Y7" s="1033"/>
      <c r="Z7" s="1033"/>
      <c r="AA7" s="1033"/>
      <c r="AB7" s="1034"/>
      <c r="AC7" s="1034"/>
      <c r="AD7" s="1034"/>
      <c r="AE7" s="1034"/>
      <c r="AF7" s="1034"/>
      <c r="AG7" s="1034"/>
      <c r="AH7" s="1034"/>
      <c r="AI7" s="1034"/>
      <c r="AJ7" s="1034"/>
      <c r="AK7" s="1034"/>
      <c r="AL7" s="1034"/>
      <c r="AM7" s="1034"/>
      <c r="AN7" s="1034"/>
      <c r="AO7" s="1033"/>
      <c r="AP7" s="1033"/>
      <c r="AQ7" s="1033"/>
      <c r="AR7" s="1033"/>
      <c r="AS7" s="1033"/>
      <c r="AT7" s="1033"/>
      <c r="AU7" s="1038"/>
      <c r="AV7" s="1039"/>
      <c r="AW7" s="1039"/>
      <c r="AX7" s="1039"/>
      <c r="AY7" s="1039"/>
      <c r="AZ7" s="1039"/>
      <c r="BA7" s="1039"/>
      <c r="BB7" s="1039"/>
      <c r="BC7" s="1040"/>
    </row>
    <row r="8" spans="1:58" s="247" customFormat="1" ht="14.25" customHeight="1">
      <c r="E8" s="1029"/>
      <c r="F8" s="1030"/>
      <c r="G8" s="1030"/>
      <c r="H8" s="1030"/>
      <c r="I8" s="1030"/>
      <c r="J8" s="1030"/>
      <c r="K8" s="1030"/>
      <c r="L8" s="1030"/>
      <c r="M8" s="1030"/>
      <c r="N8" s="1030"/>
      <c r="O8" s="1031"/>
      <c r="P8" s="1032"/>
      <c r="Q8" s="1032"/>
      <c r="R8" s="1032"/>
      <c r="S8" s="1032"/>
      <c r="T8" s="1032"/>
      <c r="U8" s="1032"/>
      <c r="V8" s="1033"/>
      <c r="W8" s="1033"/>
      <c r="X8" s="1033"/>
      <c r="Y8" s="1033"/>
      <c r="Z8" s="1033"/>
      <c r="AA8" s="1033"/>
      <c r="AB8" s="1034"/>
      <c r="AC8" s="1034"/>
      <c r="AD8" s="1034"/>
      <c r="AE8" s="1034"/>
      <c r="AF8" s="1034"/>
      <c r="AG8" s="1034"/>
      <c r="AH8" s="1034"/>
      <c r="AI8" s="1034"/>
      <c r="AJ8" s="1034"/>
      <c r="AK8" s="1034"/>
      <c r="AL8" s="1034"/>
      <c r="AM8" s="1034"/>
      <c r="AN8" s="1034"/>
      <c r="AO8" s="1033"/>
      <c r="AP8" s="1033"/>
      <c r="AQ8" s="1033"/>
      <c r="AR8" s="1033"/>
      <c r="AS8" s="1033"/>
      <c r="AT8" s="1033"/>
      <c r="AU8" s="1041"/>
      <c r="AV8" s="1042"/>
      <c r="AW8" s="1042"/>
      <c r="AX8" s="1042"/>
      <c r="AY8" s="1042"/>
      <c r="AZ8" s="1042"/>
      <c r="BA8" s="1042"/>
      <c r="BB8" s="1042"/>
      <c r="BC8" s="1043"/>
    </row>
    <row r="9" spans="1:58" s="247" customFormat="1" ht="11.25" customHeight="1">
      <c r="E9" s="1046" t="s">
        <v>3270</v>
      </c>
      <c r="F9" s="1046"/>
      <c r="G9" s="1046"/>
      <c r="H9" s="1046"/>
      <c r="I9" s="1046"/>
      <c r="J9" s="1046"/>
      <c r="K9" s="1046"/>
      <c r="L9" s="1046"/>
      <c r="M9" s="1046"/>
      <c r="N9" s="1046"/>
      <c r="O9" s="1046"/>
      <c r="P9" s="1045"/>
      <c r="Q9" s="1045"/>
      <c r="R9" s="1045"/>
      <c r="S9" s="1045"/>
      <c r="T9" s="1045"/>
      <c r="U9" s="1045"/>
      <c r="V9" s="1045"/>
      <c r="W9" s="1045"/>
      <c r="X9" s="1045"/>
      <c r="Y9" s="1045"/>
      <c r="Z9" s="1045"/>
      <c r="AA9" s="1045"/>
      <c r="AB9" s="1045"/>
      <c r="AC9" s="1045"/>
      <c r="AD9" s="1045"/>
      <c r="AE9" s="1045"/>
      <c r="AF9" s="1045"/>
      <c r="AG9" s="1045"/>
      <c r="AH9" s="1045"/>
      <c r="AI9" s="1045"/>
      <c r="AJ9" s="1045"/>
      <c r="AK9" s="1045"/>
      <c r="AL9" s="1045"/>
      <c r="AM9" s="1045"/>
      <c r="AN9" s="1045"/>
      <c r="AO9" s="1045"/>
      <c r="AP9" s="1045"/>
      <c r="AQ9" s="1045"/>
      <c r="AR9" s="1045"/>
      <c r="AS9" s="1045"/>
      <c r="AT9" s="1045"/>
      <c r="AU9" s="1044" t="s">
        <v>3271</v>
      </c>
      <c r="AV9" s="1045"/>
      <c r="AW9" s="1045"/>
      <c r="AX9" s="1045"/>
      <c r="AY9" s="1045"/>
      <c r="AZ9" s="1045"/>
      <c r="BA9" s="1045"/>
      <c r="BB9" s="1045"/>
      <c r="BC9" s="1045"/>
    </row>
    <row r="10" spans="1:58" s="247" customFormat="1" ht="11.25" customHeight="1">
      <c r="E10" s="1046"/>
      <c r="F10" s="1046"/>
      <c r="G10" s="1046"/>
      <c r="H10" s="1046"/>
      <c r="I10" s="1046"/>
      <c r="J10" s="1046"/>
      <c r="K10" s="1046"/>
      <c r="L10" s="1046"/>
      <c r="M10" s="1046"/>
      <c r="N10" s="1046"/>
      <c r="O10" s="1046"/>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row>
    <row r="11" spans="1:58" s="247" customFormat="1" ht="11.25" customHeight="1">
      <c r="E11" s="1046"/>
      <c r="F11" s="1046"/>
      <c r="G11" s="1046"/>
      <c r="H11" s="1046"/>
      <c r="I11" s="1046"/>
      <c r="J11" s="1046"/>
      <c r="K11" s="1046"/>
      <c r="L11" s="1046"/>
      <c r="M11" s="1046"/>
      <c r="N11" s="1046"/>
      <c r="O11" s="1046"/>
      <c r="P11" s="1045"/>
      <c r="Q11" s="1045"/>
      <c r="R11" s="1045"/>
      <c r="S11" s="1045"/>
      <c r="T11" s="1045"/>
      <c r="U11" s="1045"/>
      <c r="V11" s="1045"/>
      <c r="W11" s="1045"/>
      <c r="X11" s="1045"/>
      <c r="Y11" s="1045"/>
      <c r="Z11" s="1045"/>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row>
    <row r="12" spans="1:58" s="247" customFormat="1" ht="12" customHeight="1">
      <c r="E12" s="1046" t="s">
        <v>3272</v>
      </c>
      <c r="F12" s="1046"/>
      <c r="G12" s="1046"/>
      <c r="H12" s="1046"/>
      <c r="I12" s="1046"/>
      <c r="J12" s="1046"/>
      <c r="K12" s="1046"/>
      <c r="L12" s="1046"/>
      <c r="M12" s="1046"/>
      <c r="N12" s="1046"/>
      <c r="O12" s="1046"/>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5"/>
      <c r="AL12" s="1045"/>
      <c r="AM12" s="1045"/>
      <c r="AN12" s="1045"/>
      <c r="AO12" s="1045"/>
      <c r="AP12" s="1045"/>
      <c r="AQ12" s="1045"/>
      <c r="AR12" s="1045"/>
      <c r="AS12" s="1045"/>
      <c r="AT12" s="1045"/>
      <c r="AU12" s="1044" t="s">
        <v>3271</v>
      </c>
      <c r="AV12" s="1045"/>
      <c r="AW12" s="1045"/>
      <c r="AX12" s="1045"/>
      <c r="AY12" s="1045"/>
      <c r="AZ12" s="1045"/>
      <c r="BA12" s="1045"/>
      <c r="BB12" s="1045"/>
      <c r="BC12" s="1045"/>
    </row>
    <row r="13" spans="1:58" s="247" customFormat="1" ht="12" customHeight="1">
      <c r="E13" s="1046"/>
      <c r="F13" s="1046"/>
      <c r="G13" s="1046"/>
      <c r="H13" s="1046"/>
      <c r="I13" s="1046"/>
      <c r="J13" s="1046"/>
      <c r="K13" s="1046"/>
      <c r="L13" s="1046"/>
      <c r="M13" s="1046"/>
      <c r="N13" s="1046"/>
      <c r="O13" s="1046"/>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45"/>
      <c r="AY13" s="1045"/>
      <c r="AZ13" s="1045"/>
      <c r="BA13" s="1045"/>
      <c r="BB13" s="1045"/>
      <c r="BC13" s="1045"/>
    </row>
    <row r="14" spans="1:58" s="247" customFormat="1" ht="12" customHeight="1">
      <c r="E14" s="1046"/>
      <c r="F14" s="1046"/>
      <c r="G14" s="1046"/>
      <c r="H14" s="1046"/>
      <c r="I14" s="1046"/>
      <c r="J14" s="1046"/>
      <c r="K14" s="1046"/>
      <c r="L14" s="1046"/>
      <c r="M14" s="1046"/>
      <c r="N14" s="1046"/>
      <c r="O14" s="1046"/>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5"/>
      <c r="AY14" s="1045"/>
      <c r="AZ14" s="1045"/>
      <c r="BA14" s="1045"/>
      <c r="BB14" s="1045"/>
      <c r="BC14" s="1045"/>
    </row>
    <row r="15" spans="1:58" s="247" customFormat="1" ht="12" customHeight="1">
      <c r="E15" s="1046"/>
      <c r="F15" s="1046"/>
      <c r="G15" s="1046"/>
      <c r="H15" s="1046"/>
      <c r="I15" s="1046"/>
      <c r="J15" s="1046"/>
      <c r="K15" s="1046"/>
      <c r="L15" s="1046"/>
      <c r="M15" s="1046"/>
      <c r="N15" s="1046"/>
      <c r="O15" s="1046"/>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45"/>
      <c r="AY15" s="1045"/>
      <c r="AZ15" s="1045"/>
      <c r="BA15" s="1045"/>
      <c r="BB15" s="1045"/>
      <c r="BC15" s="1045"/>
    </row>
    <row r="16" spans="1:58" s="247" customFormat="1" ht="12" customHeight="1">
      <c r="E16" s="1046"/>
      <c r="F16" s="1046"/>
      <c r="G16" s="1046"/>
      <c r="H16" s="1046"/>
      <c r="I16" s="1046"/>
      <c r="J16" s="1046"/>
      <c r="K16" s="1046"/>
      <c r="L16" s="1046"/>
      <c r="M16" s="1046"/>
      <c r="N16" s="1046"/>
      <c r="O16" s="1046"/>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45"/>
      <c r="AY16" s="1045"/>
      <c r="AZ16" s="1045"/>
      <c r="BA16" s="1045"/>
      <c r="BB16" s="1045"/>
      <c r="BC16" s="1045"/>
    </row>
    <row r="17" spans="5:55" s="247" customFormat="1" ht="12" customHeight="1">
      <c r="E17" s="1046"/>
      <c r="F17" s="1046"/>
      <c r="G17" s="1046"/>
      <c r="H17" s="1046"/>
      <c r="I17" s="1046"/>
      <c r="J17" s="1046"/>
      <c r="K17" s="1046"/>
      <c r="L17" s="1046"/>
      <c r="M17" s="1046"/>
      <c r="N17" s="1046"/>
      <c r="O17" s="1046"/>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c r="AK17" s="1045"/>
      <c r="AL17" s="1045"/>
      <c r="AM17" s="1045"/>
      <c r="AN17" s="1045"/>
      <c r="AO17" s="1045"/>
      <c r="AP17" s="1045"/>
      <c r="AQ17" s="1045"/>
      <c r="AR17" s="1045"/>
      <c r="AS17" s="1045"/>
      <c r="AT17" s="1045"/>
      <c r="AU17" s="1045"/>
      <c r="AV17" s="1045"/>
      <c r="AW17" s="1045"/>
      <c r="AX17" s="1045"/>
      <c r="AY17" s="1045"/>
      <c r="AZ17" s="1045"/>
      <c r="BA17" s="1045"/>
      <c r="BB17" s="1045"/>
      <c r="BC17" s="1045"/>
    </row>
    <row r="18" spans="5:55" s="247" customFormat="1" ht="12" customHeight="1">
      <c r="E18" s="1046"/>
      <c r="F18" s="1046"/>
      <c r="G18" s="1046"/>
      <c r="H18" s="1046"/>
      <c r="I18" s="1046"/>
      <c r="J18" s="1046"/>
      <c r="K18" s="1046"/>
      <c r="L18" s="1046"/>
      <c r="M18" s="1046"/>
      <c r="N18" s="1046"/>
      <c r="O18" s="1046"/>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row>
    <row r="19" spans="5:55" s="247" customFormat="1" ht="14.25" customHeight="1">
      <c r="E19" s="1046" t="s">
        <v>3273</v>
      </c>
      <c r="F19" s="1046"/>
      <c r="G19" s="1046"/>
      <c r="H19" s="1046"/>
      <c r="I19" s="1046"/>
      <c r="J19" s="1046"/>
      <c r="K19" s="1046"/>
      <c r="L19" s="1046"/>
      <c r="M19" s="1046"/>
      <c r="N19" s="1046"/>
      <c r="O19" s="1046"/>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45"/>
      <c r="AS19" s="1045"/>
      <c r="AT19" s="1045"/>
      <c r="AU19" s="1044" t="s">
        <v>3271</v>
      </c>
      <c r="AV19" s="1045"/>
      <c r="AW19" s="1045"/>
      <c r="AX19" s="1045"/>
      <c r="AY19" s="1045"/>
      <c r="AZ19" s="1045"/>
      <c r="BA19" s="1045"/>
      <c r="BB19" s="1045"/>
      <c r="BC19" s="1045"/>
    </row>
    <row r="20" spans="5:55" s="247" customFormat="1" ht="14.25" customHeight="1">
      <c r="E20" s="1046"/>
      <c r="F20" s="1046"/>
      <c r="G20" s="1046"/>
      <c r="H20" s="1046"/>
      <c r="I20" s="1046"/>
      <c r="J20" s="1046"/>
      <c r="K20" s="1046"/>
      <c r="L20" s="1046"/>
      <c r="M20" s="1046"/>
      <c r="N20" s="1046"/>
      <c r="O20" s="1046"/>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c r="AK20" s="1045"/>
      <c r="AL20" s="1045"/>
      <c r="AM20" s="1045"/>
      <c r="AN20" s="1045"/>
      <c r="AO20" s="1045"/>
      <c r="AP20" s="1045"/>
      <c r="AQ20" s="1045"/>
      <c r="AR20" s="1045"/>
      <c r="AS20" s="1045"/>
      <c r="AT20" s="1045"/>
      <c r="AU20" s="1045"/>
      <c r="AV20" s="1045"/>
      <c r="AW20" s="1045"/>
      <c r="AX20" s="1045"/>
      <c r="AY20" s="1045"/>
      <c r="AZ20" s="1045"/>
      <c r="BA20" s="1045"/>
      <c r="BB20" s="1045"/>
      <c r="BC20" s="1045"/>
    </row>
    <row r="21" spans="5:55" s="247" customFormat="1" ht="14.25" customHeight="1">
      <c r="E21" s="1046"/>
      <c r="F21" s="1046"/>
      <c r="G21" s="1046"/>
      <c r="H21" s="1046"/>
      <c r="I21" s="1046"/>
      <c r="J21" s="1046"/>
      <c r="K21" s="1046"/>
      <c r="L21" s="1046"/>
      <c r="M21" s="1046"/>
      <c r="N21" s="1046"/>
      <c r="O21" s="1046"/>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5"/>
      <c r="AY21" s="1045"/>
      <c r="AZ21" s="1045"/>
      <c r="BA21" s="1045"/>
      <c r="BB21" s="1045"/>
      <c r="BC21" s="1045"/>
    </row>
    <row r="22" spans="5:55" s="247" customFormat="1" ht="14.25" customHeight="1">
      <c r="E22" s="1046"/>
      <c r="F22" s="1046"/>
      <c r="G22" s="1046"/>
      <c r="H22" s="1046"/>
      <c r="I22" s="1046"/>
      <c r="J22" s="1046"/>
      <c r="K22" s="1046"/>
      <c r="L22" s="1046"/>
      <c r="M22" s="1046"/>
      <c r="N22" s="1046"/>
      <c r="O22" s="1046"/>
      <c r="P22" s="1045"/>
      <c r="Q22" s="1045"/>
      <c r="R22" s="1045"/>
      <c r="S22" s="1045"/>
      <c r="T22" s="1045"/>
      <c r="U22" s="1045"/>
      <c r="V22" s="1045"/>
      <c r="W22" s="1045"/>
      <c r="X22" s="1045"/>
      <c r="Y22" s="1045"/>
      <c r="Z22" s="1045"/>
      <c r="AA22" s="1045"/>
      <c r="AB22" s="1045"/>
      <c r="AC22" s="1045"/>
      <c r="AD22" s="1045"/>
      <c r="AE22" s="1045"/>
      <c r="AF22" s="1045"/>
      <c r="AG22" s="1045"/>
      <c r="AH22" s="1045"/>
      <c r="AI22" s="1045"/>
      <c r="AJ22" s="1045"/>
      <c r="AK22" s="1045"/>
      <c r="AL22" s="1045"/>
      <c r="AM22" s="1045"/>
      <c r="AN22" s="1045"/>
      <c r="AO22" s="1045"/>
      <c r="AP22" s="1045"/>
      <c r="AQ22" s="1045"/>
      <c r="AR22" s="1045"/>
      <c r="AS22" s="1045"/>
      <c r="AT22" s="1045"/>
      <c r="AU22" s="1045"/>
      <c r="AV22" s="1045"/>
      <c r="AW22" s="1045"/>
      <c r="AX22" s="1045"/>
      <c r="AY22" s="1045"/>
      <c r="AZ22" s="1045"/>
      <c r="BA22" s="1045"/>
      <c r="BB22" s="1045"/>
      <c r="BC22" s="1045"/>
    </row>
    <row r="23" spans="5:55" s="247" customFormat="1" ht="14.25" customHeight="1">
      <c r="E23" s="1046"/>
      <c r="F23" s="1046"/>
      <c r="G23" s="1046"/>
      <c r="H23" s="1046"/>
      <c r="I23" s="1046"/>
      <c r="J23" s="1046"/>
      <c r="K23" s="1046"/>
      <c r="L23" s="1046"/>
      <c r="M23" s="1046"/>
      <c r="N23" s="1046"/>
      <c r="O23" s="1046"/>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5"/>
      <c r="AL23" s="1045"/>
      <c r="AM23" s="1045"/>
      <c r="AN23" s="1045"/>
      <c r="AO23" s="1045"/>
      <c r="AP23" s="1045"/>
      <c r="AQ23" s="1045"/>
      <c r="AR23" s="1045"/>
      <c r="AS23" s="1045"/>
      <c r="AT23" s="1045"/>
      <c r="AU23" s="1045"/>
      <c r="AV23" s="1045"/>
      <c r="AW23" s="1045"/>
      <c r="AX23" s="1045"/>
      <c r="AY23" s="1045"/>
      <c r="AZ23" s="1045"/>
      <c r="BA23" s="1045"/>
      <c r="BB23" s="1045"/>
      <c r="BC23" s="1045"/>
    </row>
    <row r="24" spans="5:55" s="247" customFormat="1" ht="14.25" customHeight="1">
      <c r="E24" s="1046"/>
      <c r="F24" s="1046"/>
      <c r="G24" s="1046"/>
      <c r="H24" s="1046"/>
      <c r="I24" s="1046"/>
      <c r="J24" s="1046"/>
      <c r="K24" s="1046"/>
      <c r="L24" s="1046"/>
      <c r="M24" s="1046"/>
      <c r="N24" s="1046"/>
      <c r="O24" s="1046"/>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045"/>
      <c r="BA24" s="1045"/>
      <c r="BB24" s="1045"/>
      <c r="BC24" s="1045"/>
    </row>
    <row r="25" spans="5:55" s="247" customFormat="1" ht="14.25" customHeight="1">
      <c r="E25" s="1046" t="s">
        <v>3274</v>
      </c>
      <c r="F25" s="1046"/>
      <c r="G25" s="1046"/>
      <c r="H25" s="1046"/>
      <c r="I25" s="1046"/>
      <c r="J25" s="1046"/>
      <c r="K25" s="1046"/>
      <c r="L25" s="1046"/>
      <c r="M25" s="1046"/>
      <c r="N25" s="1046"/>
      <c r="O25" s="1046"/>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4" t="s">
        <v>3271</v>
      </c>
      <c r="AV25" s="1045"/>
      <c r="AW25" s="1045"/>
      <c r="AX25" s="1045"/>
      <c r="AY25" s="1045"/>
      <c r="AZ25" s="1045"/>
      <c r="BA25" s="1045"/>
      <c r="BB25" s="1045"/>
      <c r="BC25" s="1045"/>
    </row>
    <row r="26" spans="5:55" s="247" customFormat="1" ht="14.25" customHeight="1">
      <c r="E26" s="1046"/>
      <c r="F26" s="1046"/>
      <c r="G26" s="1046"/>
      <c r="H26" s="1046"/>
      <c r="I26" s="1046"/>
      <c r="J26" s="1046"/>
      <c r="K26" s="1046"/>
      <c r="L26" s="1046"/>
      <c r="M26" s="1046"/>
      <c r="N26" s="1046"/>
      <c r="O26" s="1046"/>
      <c r="P26" s="1045"/>
      <c r="Q26" s="1045"/>
      <c r="R26" s="1045"/>
      <c r="S26" s="1045"/>
      <c r="T26" s="1045"/>
      <c r="U26" s="1045"/>
      <c r="V26" s="1045"/>
      <c r="W26" s="1045"/>
      <c r="X26" s="1045"/>
      <c r="Y26" s="1045"/>
      <c r="Z26" s="1045"/>
      <c r="AA26" s="1045"/>
      <c r="AB26" s="1045"/>
      <c r="AC26" s="1045"/>
      <c r="AD26" s="1045"/>
      <c r="AE26" s="1045"/>
      <c r="AF26" s="1045"/>
      <c r="AG26" s="1045"/>
      <c r="AH26" s="1045"/>
      <c r="AI26" s="1045"/>
      <c r="AJ26" s="1045"/>
      <c r="AK26" s="1045"/>
      <c r="AL26" s="1045"/>
      <c r="AM26" s="1045"/>
      <c r="AN26" s="1045"/>
      <c r="AO26" s="1045"/>
      <c r="AP26" s="1045"/>
      <c r="AQ26" s="1045"/>
      <c r="AR26" s="1045"/>
      <c r="AS26" s="1045"/>
      <c r="AT26" s="1045"/>
      <c r="AU26" s="1045"/>
      <c r="AV26" s="1045"/>
      <c r="AW26" s="1045"/>
      <c r="AX26" s="1045"/>
      <c r="AY26" s="1045"/>
      <c r="AZ26" s="1045"/>
      <c r="BA26" s="1045"/>
      <c r="BB26" s="1045"/>
      <c r="BC26" s="1045"/>
    </row>
    <row r="27" spans="5:55" s="247" customFormat="1" ht="14.25" customHeight="1">
      <c r="E27" s="1046"/>
      <c r="F27" s="1046"/>
      <c r="G27" s="1046"/>
      <c r="H27" s="1046"/>
      <c r="I27" s="1046"/>
      <c r="J27" s="1046"/>
      <c r="K27" s="1046"/>
      <c r="L27" s="1046"/>
      <c r="M27" s="1046"/>
      <c r="N27" s="1046"/>
      <c r="O27" s="1046"/>
      <c r="P27" s="1045"/>
      <c r="Q27" s="1045"/>
      <c r="R27" s="1045"/>
      <c r="S27" s="1045"/>
      <c r="T27" s="1045"/>
      <c r="U27" s="1045"/>
      <c r="V27" s="1045"/>
      <c r="W27" s="1045"/>
      <c r="X27" s="1045"/>
      <c r="Y27" s="1045"/>
      <c r="Z27" s="1045"/>
      <c r="AA27" s="1045"/>
      <c r="AB27" s="1045"/>
      <c r="AC27" s="1045"/>
      <c r="AD27" s="1045"/>
      <c r="AE27" s="1045"/>
      <c r="AF27" s="1045"/>
      <c r="AG27" s="1045"/>
      <c r="AH27" s="1045"/>
      <c r="AI27" s="1045"/>
      <c r="AJ27" s="1045"/>
      <c r="AK27" s="1045"/>
      <c r="AL27" s="1045"/>
      <c r="AM27" s="1045"/>
      <c r="AN27" s="1045"/>
      <c r="AO27" s="1045"/>
      <c r="AP27" s="1045"/>
      <c r="AQ27" s="1045"/>
      <c r="AR27" s="1045"/>
      <c r="AS27" s="1045"/>
      <c r="AT27" s="1045"/>
      <c r="AU27" s="1045"/>
      <c r="AV27" s="1045"/>
      <c r="AW27" s="1045"/>
      <c r="AX27" s="1045"/>
      <c r="AY27" s="1045"/>
      <c r="AZ27" s="1045"/>
      <c r="BA27" s="1045"/>
      <c r="BB27" s="1045"/>
      <c r="BC27" s="1045"/>
    </row>
    <row r="28" spans="5:55" s="247" customFormat="1" ht="14.25" customHeight="1">
      <c r="E28" s="1046" t="s">
        <v>3275</v>
      </c>
      <c r="F28" s="1046"/>
      <c r="G28" s="1046"/>
      <c r="H28" s="1046"/>
      <c r="I28" s="1046"/>
      <c r="J28" s="1046"/>
      <c r="K28" s="1046"/>
      <c r="L28" s="1046"/>
      <c r="M28" s="1046"/>
      <c r="N28" s="1046"/>
      <c r="O28" s="1046"/>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45"/>
      <c r="AN28" s="1045"/>
      <c r="AO28" s="1045"/>
      <c r="AP28" s="1045"/>
      <c r="AQ28" s="1045"/>
      <c r="AR28" s="1045"/>
      <c r="AS28" s="1045"/>
      <c r="AT28" s="1045"/>
      <c r="AU28" s="1044" t="s">
        <v>3271</v>
      </c>
      <c r="AV28" s="1045"/>
      <c r="AW28" s="1045"/>
      <c r="AX28" s="1045"/>
      <c r="AY28" s="1045"/>
      <c r="AZ28" s="1045"/>
      <c r="BA28" s="1045"/>
      <c r="BB28" s="1045"/>
      <c r="BC28" s="1045"/>
    </row>
    <row r="29" spans="5:55" s="247" customFormat="1" ht="14.25" customHeight="1">
      <c r="E29" s="1046"/>
      <c r="F29" s="1046"/>
      <c r="G29" s="1046"/>
      <c r="H29" s="1046"/>
      <c r="I29" s="1046"/>
      <c r="J29" s="1046"/>
      <c r="K29" s="1046"/>
      <c r="L29" s="1046"/>
      <c r="M29" s="1046"/>
      <c r="N29" s="1046"/>
      <c r="O29" s="1046"/>
      <c r="P29" s="1045"/>
      <c r="Q29" s="1045"/>
      <c r="R29" s="1045"/>
      <c r="S29" s="1045"/>
      <c r="T29" s="1045"/>
      <c r="U29" s="1045"/>
      <c r="V29" s="1045"/>
      <c r="W29" s="1045"/>
      <c r="X29" s="1045"/>
      <c r="Y29" s="1045"/>
      <c r="Z29" s="1045"/>
      <c r="AA29" s="1045"/>
      <c r="AB29" s="1045"/>
      <c r="AC29" s="1045"/>
      <c r="AD29" s="1045"/>
      <c r="AE29" s="1045"/>
      <c r="AF29" s="1045"/>
      <c r="AG29" s="1045"/>
      <c r="AH29" s="1045"/>
      <c r="AI29" s="1045"/>
      <c r="AJ29" s="1045"/>
      <c r="AK29" s="1045"/>
      <c r="AL29" s="1045"/>
      <c r="AM29" s="1045"/>
      <c r="AN29" s="1045"/>
      <c r="AO29" s="1045"/>
      <c r="AP29" s="1045"/>
      <c r="AQ29" s="1045"/>
      <c r="AR29" s="1045"/>
      <c r="AS29" s="1045"/>
      <c r="AT29" s="1045"/>
      <c r="AU29" s="1045"/>
      <c r="AV29" s="1045"/>
      <c r="AW29" s="1045"/>
      <c r="AX29" s="1045"/>
      <c r="AY29" s="1045"/>
      <c r="AZ29" s="1045"/>
      <c r="BA29" s="1045"/>
      <c r="BB29" s="1045"/>
      <c r="BC29" s="1045"/>
    </row>
    <row r="30" spans="5:55" s="247" customFormat="1" ht="14.25" customHeight="1">
      <c r="E30" s="1046"/>
      <c r="F30" s="1046"/>
      <c r="G30" s="1046"/>
      <c r="H30" s="1046"/>
      <c r="I30" s="1046"/>
      <c r="J30" s="1046"/>
      <c r="K30" s="1046"/>
      <c r="L30" s="1046"/>
      <c r="M30" s="1046"/>
      <c r="N30" s="1046"/>
      <c r="O30" s="1046"/>
      <c r="P30" s="1045"/>
      <c r="Q30" s="1045"/>
      <c r="R30" s="1045"/>
      <c r="S30" s="1045"/>
      <c r="T30" s="1045"/>
      <c r="U30" s="1045"/>
      <c r="V30" s="1045"/>
      <c r="W30" s="1045"/>
      <c r="X30" s="1045"/>
      <c r="Y30" s="1045"/>
      <c r="Z30" s="1045"/>
      <c r="AA30" s="1045"/>
      <c r="AB30" s="1045"/>
      <c r="AC30" s="1045"/>
      <c r="AD30" s="1045"/>
      <c r="AE30" s="1045"/>
      <c r="AF30" s="1045"/>
      <c r="AG30" s="1045"/>
      <c r="AH30" s="1045"/>
      <c r="AI30" s="1045"/>
      <c r="AJ30" s="1045"/>
      <c r="AK30" s="1045"/>
      <c r="AL30" s="1045"/>
      <c r="AM30" s="1045"/>
      <c r="AN30" s="1045"/>
      <c r="AO30" s="1045"/>
      <c r="AP30" s="1045"/>
      <c r="AQ30" s="1045"/>
      <c r="AR30" s="1045"/>
      <c r="AS30" s="1045"/>
      <c r="AT30" s="1045"/>
      <c r="AU30" s="1045"/>
      <c r="AV30" s="1045"/>
      <c r="AW30" s="1045"/>
      <c r="AX30" s="1045"/>
      <c r="AY30" s="1045"/>
      <c r="AZ30" s="1045"/>
      <c r="BA30" s="1045"/>
      <c r="BB30" s="1045"/>
      <c r="BC30" s="1045"/>
    </row>
    <row r="31" spans="5:55" s="247" customFormat="1" ht="14.25" customHeight="1">
      <c r="E31" s="1046"/>
      <c r="F31" s="1046"/>
      <c r="G31" s="1046"/>
      <c r="H31" s="1046"/>
      <c r="I31" s="1046"/>
      <c r="J31" s="1046"/>
      <c r="K31" s="1046"/>
      <c r="L31" s="1046"/>
      <c r="M31" s="1046"/>
      <c r="N31" s="1046"/>
      <c r="O31" s="1046"/>
      <c r="P31" s="1045"/>
      <c r="Q31" s="1045"/>
      <c r="R31" s="1045"/>
      <c r="S31" s="1045"/>
      <c r="T31" s="1045"/>
      <c r="U31" s="1045"/>
      <c r="V31" s="1045"/>
      <c r="W31" s="1045"/>
      <c r="X31" s="1045"/>
      <c r="Y31" s="1045"/>
      <c r="Z31" s="1045"/>
      <c r="AA31" s="1045"/>
      <c r="AB31" s="1045"/>
      <c r="AC31" s="1045"/>
      <c r="AD31" s="1045"/>
      <c r="AE31" s="1045"/>
      <c r="AF31" s="1045"/>
      <c r="AG31" s="1045"/>
      <c r="AH31" s="1045"/>
      <c r="AI31" s="1045"/>
      <c r="AJ31" s="1045"/>
      <c r="AK31" s="1045"/>
      <c r="AL31" s="1045"/>
      <c r="AM31" s="1045"/>
      <c r="AN31" s="1045"/>
      <c r="AO31" s="1045"/>
      <c r="AP31" s="1045"/>
      <c r="AQ31" s="1045"/>
      <c r="AR31" s="1045"/>
      <c r="AS31" s="1045"/>
      <c r="AT31" s="1045"/>
      <c r="AU31" s="1045"/>
      <c r="AV31" s="1045"/>
      <c r="AW31" s="1045"/>
      <c r="AX31" s="1045"/>
      <c r="AY31" s="1045"/>
      <c r="AZ31" s="1045"/>
      <c r="BA31" s="1045"/>
      <c r="BB31" s="1045"/>
      <c r="BC31" s="1045"/>
    </row>
    <row r="32" spans="5:55" s="247" customFormat="1" ht="14.25" customHeight="1">
      <c r="E32" s="1046" t="s">
        <v>3276</v>
      </c>
      <c r="F32" s="1046"/>
      <c r="G32" s="1046"/>
      <c r="H32" s="1046"/>
      <c r="I32" s="1046"/>
      <c r="J32" s="1046"/>
      <c r="K32" s="1046"/>
      <c r="L32" s="1046"/>
      <c r="M32" s="1046"/>
      <c r="N32" s="1046"/>
      <c r="O32" s="1046"/>
      <c r="P32" s="1045"/>
      <c r="Q32" s="1045"/>
      <c r="R32" s="1045"/>
      <c r="S32" s="1045"/>
      <c r="T32" s="1045"/>
      <c r="U32" s="1045"/>
      <c r="V32" s="1045"/>
      <c r="W32" s="1045"/>
      <c r="X32" s="1045"/>
      <c r="Y32" s="1045"/>
      <c r="Z32" s="1045"/>
      <c r="AA32" s="1045"/>
      <c r="AB32" s="1045"/>
      <c r="AC32" s="1045"/>
      <c r="AD32" s="1045"/>
      <c r="AE32" s="1045"/>
      <c r="AF32" s="1045"/>
      <c r="AG32" s="1045"/>
      <c r="AH32" s="1045"/>
      <c r="AI32" s="1045"/>
      <c r="AJ32" s="1045"/>
      <c r="AK32" s="1045"/>
      <c r="AL32" s="1045"/>
      <c r="AM32" s="1045"/>
      <c r="AN32" s="1045"/>
      <c r="AO32" s="1045"/>
      <c r="AP32" s="1045"/>
      <c r="AQ32" s="1045"/>
      <c r="AR32" s="1045"/>
      <c r="AS32" s="1045"/>
      <c r="AT32" s="1045"/>
      <c r="AU32" s="1044" t="s">
        <v>3271</v>
      </c>
      <c r="AV32" s="1045"/>
      <c r="AW32" s="1045"/>
      <c r="AX32" s="1045"/>
      <c r="AY32" s="1045"/>
      <c r="AZ32" s="1045"/>
      <c r="BA32" s="1045"/>
      <c r="BB32" s="1045"/>
      <c r="BC32" s="1045"/>
    </row>
    <row r="33" spans="5:55" s="247" customFormat="1" ht="14.25" customHeight="1">
      <c r="E33" s="1046"/>
      <c r="F33" s="1046"/>
      <c r="G33" s="1046"/>
      <c r="H33" s="1046"/>
      <c r="I33" s="1046"/>
      <c r="J33" s="1046"/>
      <c r="K33" s="1046"/>
      <c r="L33" s="1046"/>
      <c r="M33" s="1046"/>
      <c r="N33" s="1046"/>
      <c r="O33" s="1046"/>
      <c r="P33" s="1045"/>
      <c r="Q33" s="1045"/>
      <c r="R33" s="1045"/>
      <c r="S33" s="1045"/>
      <c r="T33" s="1045"/>
      <c r="U33" s="1045"/>
      <c r="V33" s="1045"/>
      <c r="W33" s="1045"/>
      <c r="X33" s="1045"/>
      <c r="Y33" s="1045"/>
      <c r="Z33" s="1045"/>
      <c r="AA33" s="1045"/>
      <c r="AB33" s="1045"/>
      <c r="AC33" s="1045"/>
      <c r="AD33" s="1045"/>
      <c r="AE33" s="1045"/>
      <c r="AF33" s="1045"/>
      <c r="AG33" s="1045"/>
      <c r="AH33" s="1045"/>
      <c r="AI33" s="1045"/>
      <c r="AJ33" s="1045"/>
      <c r="AK33" s="1045"/>
      <c r="AL33" s="1045"/>
      <c r="AM33" s="1045"/>
      <c r="AN33" s="1045"/>
      <c r="AO33" s="1045"/>
      <c r="AP33" s="1045"/>
      <c r="AQ33" s="1045"/>
      <c r="AR33" s="1045"/>
      <c r="AS33" s="1045"/>
      <c r="AT33" s="1045"/>
      <c r="AU33" s="1045"/>
      <c r="AV33" s="1045"/>
      <c r="AW33" s="1045"/>
      <c r="AX33" s="1045"/>
      <c r="AY33" s="1045"/>
      <c r="AZ33" s="1045"/>
      <c r="BA33" s="1045"/>
      <c r="BB33" s="1045"/>
      <c r="BC33" s="1045"/>
    </row>
    <row r="34" spans="5:55" s="247" customFormat="1" ht="14.25" customHeight="1">
      <c r="E34" s="1046"/>
      <c r="F34" s="1046"/>
      <c r="G34" s="1046"/>
      <c r="H34" s="1046"/>
      <c r="I34" s="1046"/>
      <c r="J34" s="1046"/>
      <c r="K34" s="1046"/>
      <c r="L34" s="1046"/>
      <c r="M34" s="1046"/>
      <c r="N34" s="1046"/>
      <c r="O34" s="1046"/>
      <c r="P34" s="1045"/>
      <c r="Q34" s="1045"/>
      <c r="R34" s="1045"/>
      <c r="S34" s="1045"/>
      <c r="T34" s="1045"/>
      <c r="U34" s="1045"/>
      <c r="V34" s="1045"/>
      <c r="W34" s="1045"/>
      <c r="X34" s="1045"/>
      <c r="Y34" s="1045"/>
      <c r="Z34" s="1045"/>
      <c r="AA34" s="1045"/>
      <c r="AB34" s="1045"/>
      <c r="AC34" s="1045"/>
      <c r="AD34" s="1045"/>
      <c r="AE34" s="1045"/>
      <c r="AF34" s="1045"/>
      <c r="AG34" s="1045"/>
      <c r="AH34" s="1045"/>
      <c r="AI34" s="1045"/>
      <c r="AJ34" s="1045"/>
      <c r="AK34" s="1045"/>
      <c r="AL34" s="1045"/>
      <c r="AM34" s="1045"/>
      <c r="AN34" s="1045"/>
      <c r="AO34" s="1045"/>
      <c r="AP34" s="1045"/>
      <c r="AQ34" s="1045"/>
      <c r="AR34" s="1045"/>
      <c r="AS34" s="1045"/>
      <c r="AT34" s="1045"/>
      <c r="AU34" s="1045"/>
      <c r="AV34" s="1045"/>
      <c r="AW34" s="1045"/>
      <c r="AX34" s="1045"/>
      <c r="AY34" s="1045"/>
      <c r="AZ34" s="1045"/>
      <c r="BA34" s="1045"/>
      <c r="BB34" s="1045"/>
      <c r="BC34" s="1045"/>
    </row>
    <row r="35" spans="5:55" s="247" customFormat="1" ht="14.25" customHeight="1">
      <c r="E35" s="1046"/>
      <c r="F35" s="1046"/>
      <c r="G35" s="1046"/>
      <c r="H35" s="1046"/>
      <c r="I35" s="1046"/>
      <c r="J35" s="1046"/>
      <c r="K35" s="1046"/>
      <c r="L35" s="1046"/>
      <c r="M35" s="1046"/>
      <c r="N35" s="1046"/>
      <c r="O35" s="1046"/>
      <c r="P35" s="1045"/>
      <c r="Q35" s="1045"/>
      <c r="R35" s="1045"/>
      <c r="S35" s="1045"/>
      <c r="T35" s="1045"/>
      <c r="U35" s="1045"/>
      <c r="V35" s="1045"/>
      <c r="W35" s="1045"/>
      <c r="X35" s="1045"/>
      <c r="Y35" s="1045"/>
      <c r="Z35" s="1045"/>
      <c r="AA35" s="1045"/>
      <c r="AB35" s="1045"/>
      <c r="AC35" s="1045"/>
      <c r="AD35" s="1045"/>
      <c r="AE35" s="1045"/>
      <c r="AF35" s="1045"/>
      <c r="AG35" s="1045"/>
      <c r="AH35" s="1045"/>
      <c r="AI35" s="1045"/>
      <c r="AJ35" s="1045"/>
      <c r="AK35" s="1045"/>
      <c r="AL35" s="1045"/>
      <c r="AM35" s="1045"/>
      <c r="AN35" s="1045"/>
      <c r="AO35" s="1045"/>
      <c r="AP35" s="1045"/>
      <c r="AQ35" s="1045"/>
      <c r="AR35" s="1045"/>
      <c r="AS35" s="1045"/>
      <c r="AT35" s="1045"/>
      <c r="AU35" s="1045"/>
      <c r="AV35" s="1045"/>
      <c r="AW35" s="1045"/>
      <c r="AX35" s="1045"/>
      <c r="AY35" s="1045"/>
      <c r="AZ35" s="1045"/>
      <c r="BA35" s="1045"/>
      <c r="BB35" s="1045"/>
      <c r="BC35" s="1045"/>
    </row>
    <row r="36" spans="5:55" s="247" customFormat="1" ht="14.25" customHeight="1">
      <c r="E36" s="1046" t="s">
        <v>3277</v>
      </c>
      <c r="F36" s="1046"/>
      <c r="G36" s="1046"/>
      <c r="H36" s="1046"/>
      <c r="I36" s="1046"/>
      <c r="J36" s="1046"/>
      <c r="K36" s="1046"/>
      <c r="L36" s="1046"/>
      <c r="M36" s="1046"/>
      <c r="N36" s="1046"/>
      <c r="O36" s="1046"/>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045"/>
      <c r="AO36" s="1045"/>
      <c r="AP36" s="1045"/>
      <c r="AQ36" s="1045"/>
      <c r="AR36" s="1045"/>
      <c r="AS36" s="1045"/>
      <c r="AT36" s="1045"/>
      <c r="AU36" s="1044" t="s">
        <v>3271</v>
      </c>
      <c r="AV36" s="1045"/>
      <c r="AW36" s="1045"/>
      <c r="AX36" s="1045"/>
      <c r="AY36" s="1045"/>
      <c r="AZ36" s="1045"/>
      <c r="BA36" s="1045"/>
      <c r="BB36" s="1045"/>
      <c r="BC36" s="1045"/>
    </row>
    <row r="37" spans="5:55" s="247" customFormat="1" ht="14.25" customHeight="1">
      <c r="E37" s="1046"/>
      <c r="F37" s="1046"/>
      <c r="G37" s="1046"/>
      <c r="H37" s="1046"/>
      <c r="I37" s="1046"/>
      <c r="J37" s="1046"/>
      <c r="K37" s="1046"/>
      <c r="L37" s="1046"/>
      <c r="M37" s="1046"/>
      <c r="N37" s="1046"/>
      <c r="O37" s="1046"/>
      <c r="P37" s="1045"/>
      <c r="Q37" s="1045"/>
      <c r="R37" s="1045"/>
      <c r="S37" s="1045"/>
      <c r="T37" s="1045"/>
      <c r="U37" s="1045"/>
      <c r="V37" s="1045"/>
      <c r="W37" s="1045"/>
      <c r="X37" s="1045"/>
      <c r="Y37" s="1045"/>
      <c r="Z37" s="1045"/>
      <c r="AA37" s="1045"/>
      <c r="AB37" s="1045"/>
      <c r="AC37" s="1045"/>
      <c r="AD37" s="1045"/>
      <c r="AE37" s="1045"/>
      <c r="AF37" s="1045"/>
      <c r="AG37" s="1045"/>
      <c r="AH37" s="1045"/>
      <c r="AI37" s="1045"/>
      <c r="AJ37" s="1045"/>
      <c r="AK37" s="1045"/>
      <c r="AL37" s="1045"/>
      <c r="AM37" s="1045"/>
      <c r="AN37" s="1045"/>
      <c r="AO37" s="1045"/>
      <c r="AP37" s="1045"/>
      <c r="AQ37" s="1045"/>
      <c r="AR37" s="1045"/>
      <c r="AS37" s="1045"/>
      <c r="AT37" s="1045"/>
      <c r="AU37" s="1045"/>
      <c r="AV37" s="1045"/>
      <c r="AW37" s="1045"/>
      <c r="AX37" s="1045"/>
      <c r="AY37" s="1045"/>
      <c r="AZ37" s="1045"/>
      <c r="BA37" s="1045"/>
      <c r="BB37" s="1045"/>
      <c r="BC37" s="1045"/>
    </row>
    <row r="38" spans="5:55" s="247" customFormat="1" ht="14.25" customHeight="1">
      <c r="E38" s="1046"/>
      <c r="F38" s="1046"/>
      <c r="G38" s="1046"/>
      <c r="H38" s="1046"/>
      <c r="I38" s="1046"/>
      <c r="J38" s="1046"/>
      <c r="K38" s="1046"/>
      <c r="L38" s="1046"/>
      <c r="M38" s="1046"/>
      <c r="N38" s="1046"/>
      <c r="O38" s="1046"/>
      <c r="P38" s="1045"/>
      <c r="Q38" s="1045"/>
      <c r="R38" s="1045"/>
      <c r="S38" s="1045"/>
      <c r="T38" s="1045"/>
      <c r="U38" s="1045"/>
      <c r="V38" s="1045"/>
      <c r="W38" s="1045"/>
      <c r="X38" s="1045"/>
      <c r="Y38" s="1045"/>
      <c r="Z38" s="1045"/>
      <c r="AA38" s="1045"/>
      <c r="AB38" s="1045"/>
      <c r="AC38" s="1045"/>
      <c r="AD38" s="1045"/>
      <c r="AE38" s="1045"/>
      <c r="AF38" s="1045"/>
      <c r="AG38" s="1045"/>
      <c r="AH38" s="1045"/>
      <c r="AI38" s="1045"/>
      <c r="AJ38" s="1045"/>
      <c r="AK38" s="1045"/>
      <c r="AL38" s="1045"/>
      <c r="AM38" s="1045"/>
      <c r="AN38" s="1045"/>
      <c r="AO38" s="1045"/>
      <c r="AP38" s="1045"/>
      <c r="AQ38" s="1045"/>
      <c r="AR38" s="1045"/>
      <c r="AS38" s="1045"/>
      <c r="AT38" s="1045"/>
      <c r="AU38" s="1045"/>
      <c r="AV38" s="1045"/>
      <c r="AW38" s="1045"/>
      <c r="AX38" s="1045"/>
      <c r="AY38" s="1045"/>
      <c r="AZ38" s="1045"/>
      <c r="BA38" s="1045"/>
      <c r="BB38" s="1045"/>
      <c r="BC38" s="1045"/>
    </row>
    <row r="39" spans="5:55" s="247" customFormat="1" ht="14.25" customHeight="1">
      <c r="E39" s="1046"/>
      <c r="F39" s="1046"/>
      <c r="G39" s="1046"/>
      <c r="H39" s="1046"/>
      <c r="I39" s="1046"/>
      <c r="J39" s="1046"/>
      <c r="K39" s="1046"/>
      <c r="L39" s="1046"/>
      <c r="M39" s="1046"/>
      <c r="N39" s="1046"/>
      <c r="O39" s="1046"/>
      <c r="P39" s="1045"/>
      <c r="Q39" s="1045"/>
      <c r="R39" s="1045"/>
      <c r="S39" s="1045"/>
      <c r="T39" s="1045"/>
      <c r="U39" s="1045"/>
      <c r="V39" s="1045"/>
      <c r="W39" s="1045"/>
      <c r="X39" s="1045"/>
      <c r="Y39" s="1045"/>
      <c r="Z39" s="1045"/>
      <c r="AA39" s="1045"/>
      <c r="AB39" s="1045"/>
      <c r="AC39" s="1045"/>
      <c r="AD39" s="1045"/>
      <c r="AE39" s="1045"/>
      <c r="AF39" s="1045"/>
      <c r="AG39" s="1045"/>
      <c r="AH39" s="1045"/>
      <c r="AI39" s="1045"/>
      <c r="AJ39" s="1045"/>
      <c r="AK39" s="1045"/>
      <c r="AL39" s="1045"/>
      <c r="AM39" s="1045"/>
      <c r="AN39" s="1045"/>
      <c r="AO39" s="1045"/>
      <c r="AP39" s="1045"/>
      <c r="AQ39" s="1045"/>
      <c r="AR39" s="1045"/>
      <c r="AS39" s="1045"/>
      <c r="AT39" s="1045"/>
      <c r="AU39" s="1045"/>
      <c r="AV39" s="1045"/>
      <c r="AW39" s="1045"/>
      <c r="AX39" s="1045"/>
      <c r="AY39" s="1045"/>
      <c r="AZ39" s="1045"/>
      <c r="BA39" s="1045"/>
      <c r="BB39" s="1045"/>
      <c r="BC39" s="1045"/>
    </row>
    <row r="40" spans="5:55" s="247" customFormat="1" ht="14.25" customHeight="1">
      <c r="E40" s="1046"/>
      <c r="F40" s="1046"/>
      <c r="G40" s="1046"/>
      <c r="H40" s="1046"/>
      <c r="I40" s="1046"/>
      <c r="J40" s="1046"/>
      <c r="K40" s="1046"/>
      <c r="L40" s="1046"/>
      <c r="M40" s="1046"/>
      <c r="N40" s="1046"/>
      <c r="O40" s="1046"/>
      <c r="P40" s="1045"/>
      <c r="Q40" s="1045"/>
      <c r="R40" s="1045"/>
      <c r="S40" s="1045"/>
      <c r="T40" s="1045"/>
      <c r="U40" s="1045"/>
      <c r="V40" s="1045"/>
      <c r="W40" s="1045"/>
      <c r="X40" s="1045"/>
      <c r="Y40" s="1045"/>
      <c r="Z40" s="1045"/>
      <c r="AA40" s="1045"/>
      <c r="AB40" s="1045"/>
      <c r="AC40" s="1045"/>
      <c r="AD40" s="1045"/>
      <c r="AE40" s="1045"/>
      <c r="AF40" s="1045"/>
      <c r="AG40" s="1045"/>
      <c r="AH40" s="1045"/>
      <c r="AI40" s="1045"/>
      <c r="AJ40" s="1045"/>
      <c r="AK40" s="1045"/>
      <c r="AL40" s="1045"/>
      <c r="AM40" s="1045"/>
      <c r="AN40" s="1045"/>
      <c r="AO40" s="1045"/>
      <c r="AP40" s="1045"/>
      <c r="AQ40" s="1045"/>
      <c r="AR40" s="1045"/>
      <c r="AS40" s="1045"/>
      <c r="AT40" s="1045"/>
      <c r="AU40" s="1045"/>
      <c r="AV40" s="1045"/>
      <c r="AW40" s="1045"/>
      <c r="AX40" s="1045"/>
      <c r="AY40" s="1045"/>
      <c r="AZ40" s="1045"/>
      <c r="BA40" s="1045"/>
      <c r="BB40" s="1045"/>
      <c r="BC40" s="1045"/>
    </row>
    <row r="41" spans="5:55" s="247" customFormat="1" ht="14.25" customHeight="1">
      <c r="E41" s="1046" t="s">
        <v>3278</v>
      </c>
      <c r="F41" s="1046"/>
      <c r="G41" s="1046"/>
      <c r="H41" s="1046"/>
      <c r="I41" s="1046"/>
      <c r="J41" s="1046"/>
      <c r="K41" s="1046"/>
      <c r="L41" s="1046"/>
      <c r="M41" s="1046"/>
      <c r="N41" s="1046"/>
      <c r="O41" s="1046"/>
      <c r="P41" s="1045"/>
      <c r="Q41" s="1045"/>
      <c r="R41" s="1045"/>
      <c r="S41" s="1045"/>
      <c r="T41" s="1045"/>
      <c r="U41" s="1045"/>
      <c r="V41" s="1045"/>
      <c r="W41" s="1045"/>
      <c r="X41" s="1045"/>
      <c r="Y41" s="1045"/>
      <c r="Z41" s="1045"/>
      <c r="AA41" s="1045"/>
      <c r="AB41" s="1045"/>
      <c r="AC41" s="1045"/>
      <c r="AD41" s="1045"/>
      <c r="AE41" s="1045"/>
      <c r="AF41" s="1045"/>
      <c r="AG41" s="1045"/>
      <c r="AH41" s="1045"/>
      <c r="AI41" s="1045"/>
      <c r="AJ41" s="1045"/>
      <c r="AK41" s="1045"/>
      <c r="AL41" s="1045"/>
      <c r="AM41" s="1045"/>
      <c r="AN41" s="1045"/>
      <c r="AO41" s="1045"/>
      <c r="AP41" s="1045"/>
      <c r="AQ41" s="1045"/>
      <c r="AR41" s="1045"/>
      <c r="AS41" s="1045"/>
      <c r="AT41" s="1045"/>
      <c r="AU41" s="1044" t="s">
        <v>3271</v>
      </c>
      <c r="AV41" s="1045"/>
      <c r="AW41" s="1045"/>
      <c r="AX41" s="1045"/>
      <c r="AY41" s="1045"/>
      <c r="AZ41" s="1045"/>
      <c r="BA41" s="1045"/>
      <c r="BB41" s="1045"/>
      <c r="BC41" s="1045"/>
    </row>
    <row r="42" spans="5:55" s="247" customFormat="1" ht="14.25" customHeight="1">
      <c r="E42" s="1046"/>
      <c r="F42" s="1046"/>
      <c r="G42" s="1046"/>
      <c r="H42" s="1046"/>
      <c r="I42" s="1046"/>
      <c r="J42" s="1046"/>
      <c r="K42" s="1046"/>
      <c r="L42" s="1046"/>
      <c r="M42" s="1046"/>
      <c r="N42" s="1046"/>
      <c r="O42" s="1046"/>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1045"/>
      <c r="AX42" s="1045"/>
      <c r="AY42" s="1045"/>
      <c r="AZ42" s="1045"/>
      <c r="BA42" s="1045"/>
      <c r="BB42" s="1045"/>
      <c r="BC42" s="1045"/>
    </row>
    <row r="43" spans="5:55" s="247" customFormat="1" ht="14.25" customHeight="1">
      <c r="E43" s="1046"/>
      <c r="F43" s="1046"/>
      <c r="G43" s="1046"/>
      <c r="H43" s="1046"/>
      <c r="I43" s="1046"/>
      <c r="J43" s="1046"/>
      <c r="K43" s="1046"/>
      <c r="L43" s="1046"/>
      <c r="M43" s="1046"/>
      <c r="N43" s="1046"/>
      <c r="O43" s="1046"/>
      <c r="P43" s="1045"/>
      <c r="Q43" s="1045"/>
      <c r="R43" s="1045"/>
      <c r="S43" s="1045"/>
      <c r="T43" s="1045"/>
      <c r="U43" s="1045"/>
      <c r="V43" s="1045"/>
      <c r="W43" s="1045"/>
      <c r="X43" s="1045"/>
      <c r="Y43" s="1045"/>
      <c r="Z43" s="1045"/>
      <c r="AA43" s="1045"/>
      <c r="AB43" s="1045"/>
      <c r="AC43" s="1045"/>
      <c r="AD43" s="1045"/>
      <c r="AE43" s="1045"/>
      <c r="AF43" s="1045"/>
      <c r="AG43" s="1045"/>
      <c r="AH43" s="1045"/>
      <c r="AI43" s="1045"/>
      <c r="AJ43" s="1045"/>
      <c r="AK43" s="1045"/>
      <c r="AL43" s="1045"/>
      <c r="AM43" s="1045"/>
      <c r="AN43" s="1045"/>
      <c r="AO43" s="1045"/>
      <c r="AP43" s="1045"/>
      <c r="AQ43" s="1045"/>
      <c r="AR43" s="1045"/>
      <c r="AS43" s="1045"/>
      <c r="AT43" s="1045"/>
      <c r="AU43" s="1045"/>
      <c r="AV43" s="1045"/>
      <c r="AW43" s="1045"/>
      <c r="AX43" s="1045"/>
      <c r="AY43" s="1045"/>
      <c r="AZ43" s="1045"/>
      <c r="BA43" s="1045"/>
      <c r="BB43" s="1045"/>
      <c r="BC43" s="1045"/>
    </row>
    <row r="44" spans="5:55" s="247" customFormat="1" ht="14.25" customHeight="1">
      <c r="E44" s="1046"/>
      <c r="F44" s="1046"/>
      <c r="G44" s="1046"/>
      <c r="H44" s="1046"/>
      <c r="I44" s="1046"/>
      <c r="J44" s="1046"/>
      <c r="K44" s="1046"/>
      <c r="L44" s="1046"/>
      <c r="M44" s="1046"/>
      <c r="N44" s="1046"/>
      <c r="O44" s="1046"/>
      <c r="P44" s="1045"/>
      <c r="Q44" s="1045"/>
      <c r="R44" s="1045"/>
      <c r="S44" s="1045"/>
      <c r="T44" s="1045"/>
      <c r="U44" s="1045"/>
      <c r="V44" s="1045"/>
      <c r="W44" s="1045"/>
      <c r="X44" s="1045"/>
      <c r="Y44" s="1045"/>
      <c r="Z44" s="1045"/>
      <c r="AA44" s="1045"/>
      <c r="AB44" s="1045"/>
      <c r="AC44" s="1045"/>
      <c r="AD44" s="1045"/>
      <c r="AE44" s="1045"/>
      <c r="AF44" s="1045"/>
      <c r="AG44" s="1045"/>
      <c r="AH44" s="1045"/>
      <c r="AI44" s="1045"/>
      <c r="AJ44" s="1045"/>
      <c r="AK44" s="1045"/>
      <c r="AL44" s="1045"/>
      <c r="AM44" s="1045"/>
      <c r="AN44" s="1045"/>
      <c r="AO44" s="1045"/>
      <c r="AP44" s="1045"/>
      <c r="AQ44" s="1045"/>
      <c r="AR44" s="1045"/>
      <c r="AS44" s="1045"/>
      <c r="AT44" s="1045"/>
      <c r="AU44" s="1045"/>
      <c r="AV44" s="1045"/>
      <c r="AW44" s="1045"/>
      <c r="AX44" s="1045"/>
      <c r="AY44" s="1045"/>
      <c r="AZ44" s="1045"/>
      <c r="BA44" s="1045"/>
      <c r="BB44" s="1045"/>
      <c r="BC44" s="1045"/>
    </row>
    <row r="45" spans="5:55" s="247" customFormat="1" ht="14.25" customHeight="1">
      <c r="E45" s="1046" t="s">
        <v>3279</v>
      </c>
      <c r="F45" s="1046"/>
      <c r="G45" s="1046"/>
      <c r="H45" s="1046"/>
      <c r="I45" s="1046"/>
      <c r="J45" s="1046"/>
      <c r="K45" s="1046"/>
      <c r="L45" s="1046"/>
      <c r="M45" s="1046"/>
      <c r="N45" s="1046"/>
      <c r="O45" s="1046"/>
      <c r="P45" s="1045"/>
      <c r="Q45" s="1045"/>
      <c r="R45" s="1045"/>
      <c r="S45" s="1045"/>
      <c r="T45" s="1045"/>
      <c r="U45" s="1045"/>
      <c r="V45" s="1045"/>
      <c r="W45" s="1045"/>
      <c r="X45" s="1045"/>
      <c r="Y45" s="1045"/>
      <c r="Z45" s="1045"/>
      <c r="AA45" s="1045"/>
      <c r="AB45" s="1045"/>
      <c r="AC45" s="1045"/>
      <c r="AD45" s="1045"/>
      <c r="AE45" s="1045"/>
      <c r="AF45" s="1045"/>
      <c r="AG45" s="1045"/>
      <c r="AH45" s="1045"/>
      <c r="AI45" s="1045"/>
      <c r="AJ45" s="1045"/>
      <c r="AK45" s="1045"/>
      <c r="AL45" s="1045"/>
      <c r="AM45" s="1045"/>
      <c r="AN45" s="1045"/>
      <c r="AO45" s="1045"/>
      <c r="AP45" s="1045"/>
      <c r="AQ45" s="1045"/>
      <c r="AR45" s="1045"/>
      <c r="AS45" s="1045"/>
      <c r="AT45" s="1045"/>
      <c r="AU45" s="1044" t="s">
        <v>3271</v>
      </c>
      <c r="AV45" s="1045"/>
      <c r="AW45" s="1045"/>
      <c r="AX45" s="1045"/>
      <c r="AY45" s="1045"/>
      <c r="AZ45" s="1045"/>
      <c r="BA45" s="1045"/>
      <c r="BB45" s="1045"/>
      <c r="BC45" s="1045"/>
    </row>
    <row r="46" spans="5:55" s="247" customFormat="1" ht="14.25" customHeight="1">
      <c r="E46" s="1046"/>
      <c r="F46" s="1046"/>
      <c r="G46" s="1046"/>
      <c r="H46" s="1046"/>
      <c r="I46" s="1046"/>
      <c r="J46" s="1046"/>
      <c r="K46" s="1046"/>
      <c r="L46" s="1046"/>
      <c r="M46" s="1046"/>
      <c r="N46" s="1046"/>
      <c r="O46" s="1046"/>
      <c r="P46" s="1045"/>
      <c r="Q46" s="1045"/>
      <c r="R46" s="1045"/>
      <c r="S46" s="1045"/>
      <c r="T46" s="1045"/>
      <c r="U46" s="1045"/>
      <c r="V46" s="1045"/>
      <c r="W46" s="1045"/>
      <c r="X46" s="1045"/>
      <c r="Y46" s="1045"/>
      <c r="Z46" s="1045"/>
      <c r="AA46" s="1045"/>
      <c r="AB46" s="1045"/>
      <c r="AC46" s="1045"/>
      <c r="AD46" s="1045"/>
      <c r="AE46" s="1045"/>
      <c r="AF46" s="1045"/>
      <c r="AG46" s="1045"/>
      <c r="AH46" s="1045"/>
      <c r="AI46" s="1045"/>
      <c r="AJ46" s="1045"/>
      <c r="AK46" s="1045"/>
      <c r="AL46" s="1045"/>
      <c r="AM46" s="1045"/>
      <c r="AN46" s="1045"/>
      <c r="AO46" s="1045"/>
      <c r="AP46" s="1045"/>
      <c r="AQ46" s="1045"/>
      <c r="AR46" s="1045"/>
      <c r="AS46" s="1045"/>
      <c r="AT46" s="1045"/>
      <c r="AU46" s="1045"/>
      <c r="AV46" s="1045"/>
      <c r="AW46" s="1045"/>
      <c r="AX46" s="1045"/>
      <c r="AY46" s="1045"/>
      <c r="AZ46" s="1045"/>
      <c r="BA46" s="1045"/>
      <c r="BB46" s="1045"/>
      <c r="BC46" s="1045"/>
    </row>
    <row r="47" spans="5:55" s="247" customFormat="1" ht="14.25" customHeight="1">
      <c r="E47" s="1046"/>
      <c r="F47" s="1046"/>
      <c r="G47" s="1046"/>
      <c r="H47" s="1046"/>
      <c r="I47" s="1046"/>
      <c r="J47" s="1046"/>
      <c r="K47" s="1046"/>
      <c r="L47" s="1046"/>
      <c r="M47" s="1046"/>
      <c r="N47" s="1046"/>
      <c r="O47" s="1046"/>
      <c r="P47" s="1045"/>
      <c r="Q47" s="1045"/>
      <c r="R47" s="1045"/>
      <c r="S47" s="1045"/>
      <c r="T47" s="1045"/>
      <c r="U47" s="1045"/>
      <c r="V47" s="1045"/>
      <c r="W47" s="1045"/>
      <c r="X47" s="1045"/>
      <c r="Y47" s="1045"/>
      <c r="Z47" s="1045"/>
      <c r="AA47" s="1045"/>
      <c r="AB47" s="1045"/>
      <c r="AC47" s="1045"/>
      <c r="AD47" s="1045"/>
      <c r="AE47" s="1045"/>
      <c r="AF47" s="1045"/>
      <c r="AG47" s="1045"/>
      <c r="AH47" s="1045"/>
      <c r="AI47" s="1045"/>
      <c r="AJ47" s="1045"/>
      <c r="AK47" s="1045"/>
      <c r="AL47" s="1045"/>
      <c r="AM47" s="1045"/>
      <c r="AN47" s="1045"/>
      <c r="AO47" s="1045"/>
      <c r="AP47" s="1045"/>
      <c r="AQ47" s="1045"/>
      <c r="AR47" s="1045"/>
      <c r="AS47" s="1045"/>
      <c r="AT47" s="1045"/>
      <c r="AU47" s="1045"/>
      <c r="AV47" s="1045"/>
      <c r="AW47" s="1045"/>
      <c r="AX47" s="1045"/>
      <c r="AY47" s="1045"/>
      <c r="AZ47" s="1045"/>
      <c r="BA47" s="1045"/>
      <c r="BB47" s="1045"/>
      <c r="BC47" s="1045"/>
    </row>
    <row r="48" spans="5:55" s="247" customFormat="1" ht="14.25" customHeight="1">
      <c r="E48" s="1046" t="s">
        <v>3280</v>
      </c>
      <c r="F48" s="1046"/>
      <c r="G48" s="1046"/>
      <c r="H48" s="1046"/>
      <c r="I48" s="1046"/>
      <c r="J48" s="1046"/>
      <c r="K48" s="1046"/>
      <c r="L48" s="1046"/>
      <c r="M48" s="1046"/>
      <c r="N48" s="1046"/>
      <c r="O48" s="1046"/>
      <c r="P48" s="1045"/>
      <c r="Q48" s="1045"/>
      <c r="R48" s="1045"/>
      <c r="S48" s="1045"/>
      <c r="T48" s="1045"/>
      <c r="U48" s="1045"/>
      <c r="V48" s="1045"/>
      <c r="W48" s="1045"/>
      <c r="X48" s="1045"/>
      <c r="Y48" s="1045"/>
      <c r="Z48" s="1045"/>
      <c r="AA48" s="1045"/>
      <c r="AB48" s="1045"/>
      <c r="AC48" s="1045"/>
      <c r="AD48" s="1045"/>
      <c r="AE48" s="1045"/>
      <c r="AF48" s="1045"/>
      <c r="AG48" s="1045"/>
      <c r="AH48" s="1045"/>
      <c r="AI48" s="1045"/>
      <c r="AJ48" s="1045"/>
      <c r="AK48" s="1045"/>
      <c r="AL48" s="1045"/>
      <c r="AM48" s="1045"/>
      <c r="AN48" s="1045"/>
      <c r="AO48" s="1045"/>
      <c r="AP48" s="1045"/>
      <c r="AQ48" s="1045"/>
      <c r="AR48" s="1045"/>
      <c r="AS48" s="1045"/>
      <c r="AT48" s="1045"/>
      <c r="AU48" s="1044" t="s">
        <v>3271</v>
      </c>
      <c r="AV48" s="1045"/>
      <c r="AW48" s="1045"/>
      <c r="AX48" s="1045"/>
      <c r="AY48" s="1045"/>
      <c r="AZ48" s="1045"/>
      <c r="BA48" s="1045"/>
      <c r="BB48" s="1045"/>
      <c r="BC48" s="1045"/>
    </row>
    <row r="49" spans="2:58" s="247" customFormat="1" ht="14.25" customHeight="1">
      <c r="E49" s="1046"/>
      <c r="F49" s="1046"/>
      <c r="G49" s="1046"/>
      <c r="H49" s="1046"/>
      <c r="I49" s="1046"/>
      <c r="J49" s="1046"/>
      <c r="K49" s="1046"/>
      <c r="L49" s="1046"/>
      <c r="M49" s="1046"/>
      <c r="N49" s="1046"/>
      <c r="O49" s="1046"/>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45"/>
      <c r="AS49" s="1045"/>
      <c r="AT49" s="1045"/>
      <c r="AU49" s="1045"/>
      <c r="AV49" s="1045"/>
      <c r="AW49" s="1045"/>
      <c r="AX49" s="1045"/>
      <c r="AY49" s="1045"/>
      <c r="AZ49" s="1045"/>
      <c r="BA49" s="1045"/>
      <c r="BB49" s="1045"/>
      <c r="BC49" s="1045"/>
    </row>
    <row r="50" spans="2:58" s="247" customFormat="1" ht="14.25" customHeight="1">
      <c r="E50" s="1046"/>
      <c r="F50" s="1046"/>
      <c r="G50" s="1046"/>
      <c r="H50" s="1046"/>
      <c r="I50" s="1046"/>
      <c r="J50" s="1046"/>
      <c r="K50" s="1046"/>
      <c r="L50" s="1046"/>
      <c r="M50" s="1046"/>
      <c r="N50" s="1046"/>
      <c r="O50" s="1046"/>
      <c r="P50" s="1045"/>
      <c r="Q50" s="1045"/>
      <c r="R50" s="1045"/>
      <c r="S50" s="1045"/>
      <c r="T50" s="1045"/>
      <c r="U50" s="1045"/>
      <c r="V50" s="1045"/>
      <c r="W50" s="1045"/>
      <c r="X50" s="1045"/>
      <c r="Y50" s="1045"/>
      <c r="Z50" s="1045"/>
      <c r="AA50" s="1045"/>
      <c r="AB50" s="1045"/>
      <c r="AC50" s="1045"/>
      <c r="AD50" s="1045"/>
      <c r="AE50" s="1045"/>
      <c r="AF50" s="1045"/>
      <c r="AG50" s="1045"/>
      <c r="AH50" s="1045"/>
      <c r="AI50" s="1045"/>
      <c r="AJ50" s="1045"/>
      <c r="AK50" s="1045"/>
      <c r="AL50" s="1045"/>
      <c r="AM50" s="1045"/>
      <c r="AN50" s="1045"/>
      <c r="AO50" s="1045"/>
      <c r="AP50" s="1045"/>
      <c r="AQ50" s="1045"/>
      <c r="AR50" s="1045"/>
      <c r="AS50" s="1045"/>
      <c r="AT50" s="1045"/>
      <c r="AU50" s="1045"/>
      <c r="AV50" s="1045"/>
      <c r="AW50" s="1045"/>
      <c r="AX50" s="1045"/>
      <c r="AY50" s="1045"/>
      <c r="AZ50" s="1045"/>
      <c r="BA50" s="1045"/>
      <c r="BB50" s="1045"/>
      <c r="BC50" s="1045"/>
    </row>
    <row r="51" spans="2:58" s="247" customFormat="1" ht="14.25" customHeight="1">
      <c r="E51" s="1046"/>
      <c r="F51" s="1046"/>
      <c r="G51" s="1046"/>
      <c r="H51" s="1046"/>
      <c r="I51" s="1046"/>
      <c r="J51" s="1046"/>
      <c r="K51" s="1046"/>
      <c r="L51" s="1046"/>
      <c r="M51" s="1046"/>
      <c r="N51" s="1046"/>
      <c r="O51" s="1046"/>
      <c r="P51" s="1045"/>
      <c r="Q51" s="1045"/>
      <c r="R51" s="1045"/>
      <c r="S51" s="1045"/>
      <c r="T51" s="1045"/>
      <c r="U51" s="1045"/>
      <c r="V51" s="1045"/>
      <c r="W51" s="1045"/>
      <c r="X51" s="1045"/>
      <c r="Y51" s="1045"/>
      <c r="Z51" s="1045"/>
      <c r="AA51" s="1045"/>
      <c r="AB51" s="1045"/>
      <c r="AC51" s="1045"/>
      <c r="AD51" s="1045"/>
      <c r="AE51" s="1045"/>
      <c r="AF51" s="1045"/>
      <c r="AG51" s="1045"/>
      <c r="AH51" s="1045"/>
      <c r="AI51" s="1045"/>
      <c r="AJ51" s="1045"/>
      <c r="AK51" s="1045"/>
      <c r="AL51" s="1045"/>
      <c r="AM51" s="1045"/>
      <c r="AN51" s="1045"/>
      <c r="AO51" s="1045"/>
      <c r="AP51" s="1045"/>
      <c r="AQ51" s="1045"/>
      <c r="AR51" s="1045"/>
      <c r="AS51" s="1045"/>
      <c r="AT51" s="1045"/>
      <c r="AU51" s="1045"/>
      <c r="AV51" s="1045"/>
      <c r="AW51" s="1045"/>
      <c r="AX51" s="1045"/>
      <c r="AY51" s="1045"/>
      <c r="AZ51" s="1045"/>
      <c r="BA51" s="1045"/>
      <c r="BB51" s="1045"/>
      <c r="BC51" s="1045"/>
    </row>
    <row r="52" spans="2:58" s="247" customFormat="1" ht="14.25" customHeight="1">
      <c r="E52" s="1046"/>
      <c r="F52" s="1046"/>
      <c r="G52" s="1046"/>
      <c r="H52" s="1046"/>
      <c r="I52" s="1046"/>
      <c r="J52" s="1046"/>
      <c r="K52" s="1046"/>
      <c r="L52" s="1046"/>
      <c r="M52" s="1046"/>
      <c r="N52" s="1046"/>
      <c r="O52" s="1046"/>
      <c r="P52" s="1045"/>
      <c r="Q52" s="1045"/>
      <c r="R52" s="1045"/>
      <c r="S52" s="1045"/>
      <c r="T52" s="1045"/>
      <c r="U52" s="1045"/>
      <c r="V52" s="1045"/>
      <c r="W52" s="1045"/>
      <c r="X52" s="1045"/>
      <c r="Y52" s="1045"/>
      <c r="Z52" s="1045"/>
      <c r="AA52" s="1045"/>
      <c r="AB52" s="1045"/>
      <c r="AC52" s="1045"/>
      <c r="AD52" s="1045"/>
      <c r="AE52" s="1045"/>
      <c r="AF52" s="1045"/>
      <c r="AG52" s="1045"/>
      <c r="AH52" s="1045"/>
      <c r="AI52" s="1045"/>
      <c r="AJ52" s="1045"/>
      <c r="AK52" s="1045"/>
      <c r="AL52" s="1045"/>
      <c r="AM52" s="1045"/>
      <c r="AN52" s="1045"/>
      <c r="AO52" s="1045"/>
      <c r="AP52" s="1045"/>
      <c r="AQ52" s="1045"/>
      <c r="AR52" s="1045"/>
      <c r="AS52" s="1045"/>
      <c r="AT52" s="1045"/>
      <c r="AU52" s="1045"/>
      <c r="AV52" s="1045"/>
      <c r="AW52" s="1045"/>
      <c r="AX52" s="1045"/>
      <c r="AY52" s="1045"/>
      <c r="AZ52" s="1045"/>
      <c r="BA52" s="1045"/>
      <c r="BB52" s="1045"/>
      <c r="BC52" s="1045"/>
    </row>
    <row r="53" spans="2:58" s="247" customFormat="1" ht="14.25" customHeight="1">
      <c r="E53" s="1046"/>
      <c r="F53" s="1046"/>
      <c r="G53" s="1046"/>
      <c r="H53" s="1046"/>
      <c r="I53" s="1046"/>
      <c r="J53" s="1046"/>
      <c r="K53" s="1046"/>
      <c r="L53" s="1046"/>
      <c r="M53" s="1046"/>
      <c r="N53" s="1046"/>
      <c r="O53" s="1046"/>
      <c r="P53" s="1045"/>
      <c r="Q53" s="1045"/>
      <c r="R53" s="1045"/>
      <c r="S53" s="1045"/>
      <c r="T53" s="1045"/>
      <c r="U53" s="1045"/>
      <c r="V53" s="1045"/>
      <c r="W53" s="1045"/>
      <c r="X53" s="1045"/>
      <c r="Y53" s="1045"/>
      <c r="Z53" s="1045"/>
      <c r="AA53" s="1045"/>
      <c r="AB53" s="1045"/>
      <c r="AC53" s="1045"/>
      <c r="AD53" s="1045"/>
      <c r="AE53" s="1045"/>
      <c r="AF53" s="1045"/>
      <c r="AG53" s="1045"/>
      <c r="AH53" s="1045"/>
      <c r="AI53" s="1045"/>
      <c r="AJ53" s="1045"/>
      <c r="AK53" s="1045"/>
      <c r="AL53" s="1045"/>
      <c r="AM53" s="1045"/>
      <c r="AN53" s="1045"/>
      <c r="AO53" s="1045"/>
      <c r="AP53" s="1045"/>
      <c r="AQ53" s="1045"/>
      <c r="AR53" s="1045"/>
      <c r="AS53" s="1045"/>
      <c r="AT53" s="1045"/>
      <c r="AU53" s="1045"/>
      <c r="AV53" s="1045"/>
      <c r="AW53" s="1045"/>
      <c r="AX53" s="1045"/>
      <c r="AY53" s="1045"/>
      <c r="AZ53" s="1045"/>
      <c r="BA53" s="1045"/>
      <c r="BB53" s="1045"/>
      <c r="BC53" s="1045"/>
    </row>
    <row r="54" spans="2:58" ht="14.25" customHeight="1">
      <c r="B54" s="34"/>
      <c r="C54" s="34"/>
      <c r="D54" s="34"/>
      <c r="E54" s="1046"/>
      <c r="F54" s="1046"/>
      <c r="G54" s="1046"/>
      <c r="H54" s="1046"/>
      <c r="I54" s="1046"/>
      <c r="J54" s="1046"/>
      <c r="K54" s="1046"/>
      <c r="L54" s="1046"/>
      <c r="M54" s="1046"/>
      <c r="N54" s="1046"/>
      <c r="O54" s="1046"/>
      <c r="P54" s="1045"/>
      <c r="Q54" s="1045"/>
      <c r="R54" s="1045"/>
      <c r="S54" s="1045"/>
      <c r="T54" s="1045"/>
      <c r="U54" s="1045"/>
      <c r="V54" s="1045"/>
      <c r="W54" s="1045"/>
      <c r="X54" s="1045"/>
      <c r="Y54" s="1045"/>
      <c r="Z54" s="1045"/>
      <c r="AA54" s="1045"/>
      <c r="AB54" s="1045"/>
      <c r="AC54" s="1045"/>
      <c r="AD54" s="1045"/>
      <c r="AE54" s="1045"/>
      <c r="AF54" s="1045"/>
      <c r="AG54" s="1045"/>
      <c r="AH54" s="1045"/>
      <c r="AI54" s="1045"/>
      <c r="AJ54" s="1045"/>
      <c r="AK54" s="1045"/>
      <c r="AL54" s="1045"/>
      <c r="AM54" s="1045"/>
      <c r="AN54" s="1045"/>
      <c r="AO54" s="1045"/>
      <c r="AP54" s="1045"/>
      <c r="AQ54" s="1045"/>
      <c r="AR54" s="1045"/>
      <c r="AS54" s="1045"/>
      <c r="AT54" s="1045"/>
      <c r="AU54" s="1045"/>
      <c r="AV54" s="1045"/>
      <c r="AW54" s="1045"/>
      <c r="AX54" s="1045"/>
      <c r="AY54" s="1045"/>
      <c r="AZ54" s="1045"/>
      <c r="BA54" s="1045"/>
      <c r="BB54" s="1045"/>
      <c r="BC54" s="1045"/>
      <c r="BD54" s="34"/>
      <c r="BE54" s="34"/>
      <c r="BF54" s="34"/>
    </row>
    <row r="55" spans="2:58" ht="15.75" customHeight="1">
      <c r="B55" s="34"/>
      <c r="C55" s="34"/>
      <c r="D55" s="34"/>
      <c r="E55" s="1058" t="s">
        <v>3281</v>
      </c>
      <c r="F55" s="1059"/>
      <c r="G55" s="1059"/>
      <c r="H55" s="1059"/>
      <c r="I55" s="1059"/>
      <c r="J55" s="1059"/>
      <c r="K55" s="1059"/>
      <c r="L55" s="1059"/>
      <c r="M55" s="1059"/>
      <c r="N55" s="1059"/>
      <c r="O55" s="1060"/>
      <c r="P55" s="1054"/>
      <c r="Q55" s="1048"/>
      <c r="R55" s="1048"/>
      <c r="S55" s="1048"/>
      <c r="T55" s="1048"/>
      <c r="U55" s="1049"/>
      <c r="V55" s="1054"/>
      <c r="W55" s="1048"/>
      <c r="X55" s="1048"/>
      <c r="Y55" s="1048"/>
      <c r="Z55" s="1048"/>
      <c r="AA55" s="1049"/>
      <c r="AB55" s="1054"/>
      <c r="AC55" s="1048"/>
      <c r="AD55" s="1048"/>
      <c r="AE55" s="1048"/>
      <c r="AF55" s="1048"/>
      <c r="AG55" s="1049"/>
      <c r="AH55" s="1054"/>
      <c r="AI55" s="1048"/>
      <c r="AJ55" s="1048"/>
      <c r="AK55" s="1048"/>
      <c r="AL55" s="1048"/>
      <c r="AM55" s="1048"/>
      <c r="AN55" s="1049"/>
      <c r="AO55" s="1054"/>
      <c r="AP55" s="1048"/>
      <c r="AQ55" s="1048"/>
      <c r="AR55" s="1048"/>
      <c r="AS55" s="1048"/>
      <c r="AT55" s="1049"/>
      <c r="AU55" s="1047" t="s">
        <v>3271</v>
      </c>
      <c r="AV55" s="1048"/>
      <c r="AW55" s="1048"/>
      <c r="AX55" s="1048"/>
      <c r="AY55" s="1048"/>
      <c r="AZ55" s="1048"/>
      <c r="BA55" s="1048"/>
      <c r="BB55" s="1048"/>
      <c r="BC55" s="1049"/>
      <c r="BD55" s="34"/>
      <c r="BE55" s="34"/>
      <c r="BF55" s="34"/>
    </row>
    <row r="56" spans="2:58" ht="15.75" customHeight="1">
      <c r="B56" s="34"/>
      <c r="C56" s="34"/>
      <c r="D56" s="34"/>
      <c r="E56" s="1061"/>
      <c r="F56" s="1062"/>
      <c r="G56" s="1062"/>
      <c r="H56" s="1062"/>
      <c r="I56" s="1062"/>
      <c r="J56" s="1062"/>
      <c r="K56" s="1062"/>
      <c r="L56" s="1062"/>
      <c r="M56" s="1062"/>
      <c r="N56" s="1062"/>
      <c r="O56" s="1063"/>
      <c r="P56" s="1050"/>
      <c r="Q56" s="1051"/>
      <c r="R56" s="1051"/>
      <c r="S56" s="1051"/>
      <c r="T56" s="1051"/>
      <c r="U56" s="1052"/>
      <c r="V56" s="1050"/>
      <c r="W56" s="1051"/>
      <c r="X56" s="1051"/>
      <c r="Y56" s="1051"/>
      <c r="Z56" s="1051"/>
      <c r="AA56" s="1052"/>
      <c r="AB56" s="1050"/>
      <c r="AC56" s="1051"/>
      <c r="AD56" s="1051"/>
      <c r="AE56" s="1051"/>
      <c r="AF56" s="1051"/>
      <c r="AG56" s="1052"/>
      <c r="AH56" s="1050"/>
      <c r="AI56" s="1051"/>
      <c r="AJ56" s="1051"/>
      <c r="AK56" s="1051"/>
      <c r="AL56" s="1051"/>
      <c r="AM56" s="1051"/>
      <c r="AN56" s="1052"/>
      <c r="AO56" s="1050"/>
      <c r="AP56" s="1051"/>
      <c r="AQ56" s="1051"/>
      <c r="AR56" s="1051"/>
      <c r="AS56" s="1051"/>
      <c r="AT56" s="1052"/>
      <c r="AU56" s="1050"/>
      <c r="AV56" s="1051"/>
      <c r="AW56" s="1051"/>
      <c r="AX56" s="1051"/>
      <c r="AY56" s="1051"/>
      <c r="AZ56" s="1051"/>
      <c r="BA56" s="1051"/>
      <c r="BB56" s="1051"/>
      <c r="BC56" s="1052"/>
      <c r="BD56" s="34"/>
      <c r="BE56" s="34"/>
      <c r="BF56" s="34"/>
    </row>
    <row r="57" spans="2:58" s="247" customFormat="1" ht="14.25" customHeight="1">
      <c r="E57" s="1053" t="s">
        <v>3282</v>
      </c>
      <c r="F57" s="1053"/>
      <c r="G57" s="1053"/>
      <c r="H57" s="1053"/>
      <c r="I57" s="1053"/>
      <c r="J57" s="1053"/>
      <c r="K57" s="1053"/>
      <c r="L57" s="1053"/>
      <c r="M57" s="1053"/>
      <c r="N57" s="1053"/>
      <c r="O57" s="1053"/>
      <c r="P57" s="1054"/>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8"/>
      <c r="AY57" s="1048"/>
      <c r="AZ57" s="1048"/>
      <c r="BA57" s="1048"/>
      <c r="BB57" s="1048"/>
      <c r="BC57" s="1049"/>
    </row>
    <row r="58" spans="2:58" ht="14.25" customHeight="1">
      <c r="B58" s="34"/>
      <c r="C58" s="34"/>
      <c r="D58" s="34"/>
      <c r="E58" s="1053"/>
      <c r="F58" s="1053"/>
      <c r="G58" s="1053"/>
      <c r="H58" s="1053"/>
      <c r="I58" s="1053"/>
      <c r="J58" s="1053"/>
      <c r="K58" s="1053"/>
      <c r="L58" s="1053"/>
      <c r="M58" s="1053"/>
      <c r="N58" s="1053"/>
      <c r="O58" s="1053"/>
      <c r="P58" s="1055"/>
      <c r="Q58" s="1056"/>
      <c r="R58" s="1056"/>
      <c r="S58" s="1056"/>
      <c r="T58" s="1056"/>
      <c r="U58" s="1056"/>
      <c r="V58" s="1056"/>
      <c r="W58" s="1056"/>
      <c r="X58" s="1056"/>
      <c r="Y58" s="1056"/>
      <c r="Z58" s="1056"/>
      <c r="AA58" s="1056"/>
      <c r="AB58" s="1056"/>
      <c r="AC58" s="1056"/>
      <c r="AD58" s="1056"/>
      <c r="AE58" s="1056"/>
      <c r="AF58" s="1056"/>
      <c r="AG58" s="1056"/>
      <c r="AH58" s="1056"/>
      <c r="AI58" s="1056"/>
      <c r="AJ58" s="1056"/>
      <c r="AK58" s="1056"/>
      <c r="AL58" s="1056"/>
      <c r="AM58" s="1056"/>
      <c r="AN58" s="1056"/>
      <c r="AO58" s="1056"/>
      <c r="AP58" s="1056"/>
      <c r="AQ58" s="1056"/>
      <c r="AR58" s="1056"/>
      <c r="AS58" s="1056"/>
      <c r="AT58" s="1056"/>
      <c r="AU58" s="1056"/>
      <c r="AV58" s="1056"/>
      <c r="AW58" s="1056"/>
      <c r="AX58" s="1056"/>
      <c r="AY58" s="1056"/>
      <c r="AZ58" s="1056"/>
      <c r="BA58" s="1056"/>
      <c r="BB58" s="1056"/>
      <c r="BC58" s="1057"/>
      <c r="BD58" s="34"/>
      <c r="BE58" s="34"/>
      <c r="BF58" s="34"/>
    </row>
    <row r="59" spans="2:58" ht="14.25" customHeight="1">
      <c r="B59" s="34"/>
      <c r="C59" s="34"/>
      <c r="D59" s="34"/>
      <c r="E59" s="1053"/>
      <c r="F59" s="1053"/>
      <c r="G59" s="1053"/>
      <c r="H59" s="1053"/>
      <c r="I59" s="1053"/>
      <c r="J59" s="1053"/>
      <c r="K59" s="1053"/>
      <c r="L59" s="1053"/>
      <c r="M59" s="1053"/>
      <c r="N59" s="1053"/>
      <c r="O59" s="1053"/>
      <c r="P59" s="1055"/>
      <c r="Q59" s="1056"/>
      <c r="R59" s="1056"/>
      <c r="S59" s="1056"/>
      <c r="T59" s="1056"/>
      <c r="U59" s="1056"/>
      <c r="V59" s="1056"/>
      <c r="W59" s="1056"/>
      <c r="X59" s="1056"/>
      <c r="Y59" s="1056"/>
      <c r="Z59" s="1056"/>
      <c r="AA59" s="1056"/>
      <c r="AB59" s="1056"/>
      <c r="AC59" s="1056"/>
      <c r="AD59" s="1056"/>
      <c r="AE59" s="1056"/>
      <c r="AF59" s="1056"/>
      <c r="AG59" s="1056"/>
      <c r="AH59" s="1056"/>
      <c r="AI59" s="1056"/>
      <c r="AJ59" s="1056"/>
      <c r="AK59" s="1056"/>
      <c r="AL59" s="1056"/>
      <c r="AM59" s="1056"/>
      <c r="AN59" s="1056"/>
      <c r="AO59" s="1056"/>
      <c r="AP59" s="1056"/>
      <c r="AQ59" s="1056"/>
      <c r="AR59" s="1056"/>
      <c r="AS59" s="1056"/>
      <c r="AT59" s="1056"/>
      <c r="AU59" s="1056"/>
      <c r="AV59" s="1056"/>
      <c r="AW59" s="1056"/>
      <c r="AX59" s="1056"/>
      <c r="AY59" s="1056"/>
      <c r="AZ59" s="1056"/>
      <c r="BA59" s="1056"/>
      <c r="BB59" s="1056"/>
      <c r="BC59" s="1057"/>
      <c r="BD59" s="34"/>
      <c r="BE59" s="34"/>
      <c r="BF59" s="34"/>
    </row>
    <row r="60" spans="2:58" ht="14.25" customHeight="1">
      <c r="B60" s="34"/>
      <c r="C60" s="34"/>
      <c r="D60" s="34"/>
      <c r="E60" s="1053"/>
      <c r="F60" s="1053"/>
      <c r="G60" s="1053"/>
      <c r="H60" s="1053"/>
      <c r="I60" s="1053"/>
      <c r="J60" s="1053"/>
      <c r="K60" s="1053"/>
      <c r="L60" s="1053"/>
      <c r="M60" s="1053"/>
      <c r="N60" s="1053"/>
      <c r="O60" s="1053"/>
      <c r="P60" s="1050"/>
      <c r="Q60" s="1051"/>
      <c r="R60" s="1051"/>
      <c r="S60" s="1051"/>
      <c r="T60" s="1051"/>
      <c r="U60" s="1051"/>
      <c r="V60" s="1051"/>
      <c r="W60" s="1051"/>
      <c r="X60" s="1051"/>
      <c r="Y60" s="1051"/>
      <c r="Z60" s="1051"/>
      <c r="AA60" s="1051"/>
      <c r="AB60" s="1051"/>
      <c r="AC60" s="1051"/>
      <c r="AD60" s="1051"/>
      <c r="AE60" s="1051"/>
      <c r="AF60" s="1051"/>
      <c r="AG60" s="1051"/>
      <c r="AH60" s="1051"/>
      <c r="AI60" s="1051"/>
      <c r="AJ60" s="1051"/>
      <c r="AK60" s="1051"/>
      <c r="AL60" s="1051"/>
      <c r="AM60" s="1051"/>
      <c r="AN60" s="1051"/>
      <c r="AO60" s="1051"/>
      <c r="AP60" s="1051"/>
      <c r="AQ60" s="1051"/>
      <c r="AR60" s="1051"/>
      <c r="AS60" s="1051"/>
      <c r="AT60" s="1051"/>
      <c r="AU60" s="1051"/>
      <c r="AV60" s="1051"/>
      <c r="AW60" s="1051"/>
      <c r="AX60" s="1051"/>
      <c r="AY60" s="1051"/>
      <c r="AZ60" s="1051"/>
      <c r="BA60" s="1051"/>
      <c r="BB60" s="1051"/>
      <c r="BC60" s="1052"/>
      <c r="BD60" s="34"/>
      <c r="BE60" s="34"/>
      <c r="BF60" s="34"/>
    </row>
    <row r="61" spans="2:58" ht="14.25" customHeight="1">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row>
    <row r="62" spans="2:58" ht="14.25" customHeight="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row>
    <row r="63" spans="2:58" ht="14.25" customHeight="1">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row>
  </sheetData>
  <mergeCells count="88">
    <mergeCell ref="AU55:BC56"/>
    <mergeCell ref="E57:O60"/>
    <mergeCell ref="P57:BC60"/>
    <mergeCell ref="E55:O56"/>
    <mergeCell ref="P55:U56"/>
    <mergeCell ref="V55:AA56"/>
    <mergeCell ref="AB55:AG56"/>
    <mergeCell ref="AH55:AN56"/>
    <mergeCell ref="AO55:AT56"/>
    <mergeCell ref="AU45:BC47"/>
    <mergeCell ref="E48:O54"/>
    <mergeCell ref="P48:U54"/>
    <mergeCell ref="V48:AA54"/>
    <mergeCell ref="AB48:AG54"/>
    <mergeCell ref="AH48:AN54"/>
    <mergeCell ref="AO48:AT54"/>
    <mergeCell ref="AU48:BC54"/>
    <mergeCell ref="E45:O47"/>
    <mergeCell ref="P45:U47"/>
    <mergeCell ref="V45:AA47"/>
    <mergeCell ref="AB45:AG47"/>
    <mergeCell ref="AH45:AN47"/>
    <mergeCell ref="AO45:AT47"/>
    <mergeCell ref="AU36:BC40"/>
    <mergeCell ref="E41:O44"/>
    <mergeCell ref="P41:U44"/>
    <mergeCell ref="V41:AA44"/>
    <mergeCell ref="AB41:AG44"/>
    <mergeCell ref="AH41:AN44"/>
    <mergeCell ref="AO41:AT44"/>
    <mergeCell ref="AU41:BC44"/>
    <mergeCell ref="E36:O40"/>
    <mergeCell ref="P36:U40"/>
    <mergeCell ref="V36:AA40"/>
    <mergeCell ref="AB36:AG40"/>
    <mergeCell ref="AH36:AN40"/>
    <mergeCell ref="AO36:AT40"/>
    <mergeCell ref="AU28:BC31"/>
    <mergeCell ref="E32:O35"/>
    <mergeCell ref="P32:U35"/>
    <mergeCell ref="V32:AA35"/>
    <mergeCell ref="AB32:AG35"/>
    <mergeCell ref="AH32:AN35"/>
    <mergeCell ref="AO32:AT35"/>
    <mergeCell ref="AU32:BC35"/>
    <mergeCell ref="E28:O31"/>
    <mergeCell ref="P28:U31"/>
    <mergeCell ref="V28:AA31"/>
    <mergeCell ref="AB28:AG31"/>
    <mergeCell ref="AH28:AN31"/>
    <mergeCell ref="AO28:AT31"/>
    <mergeCell ref="AU19:BC24"/>
    <mergeCell ref="E25:O27"/>
    <mergeCell ref="P25:U27"/>
    <mergeCell ref="V25:AA27"/>
    <mergeCell ref="AB25:AG27"/>
    <mergeCell ref="AH25:AN27"/>
    <mergeCell ref="AO25:AT27"/>
    <mergeCell ref="AU25:BC27"/>
    <mergeCell ref="E19:O24"/>
    <mergeCell ref="P19:U24"/>
    <mergeCell ref="V19:AA24"/>
    <mergeCell ref="AB19:AG24"/>
    <mergeCell ref="AH19:AN24"/>
    <mergeCell ref="AO19:AT24"/>
    <mergeCell ref="AU9:BC11"/>
    <mergeCell ref="E12:O18"/>
    <mergeCell ref="P12:U18"/>
    <mergeCell ref="V12:AA18"/>
    <mergeCell ref="AB12:AG18"/>
    <mergeCell ref="AH12:AN18"/>
    <mergeCell ref="AO12:AT18"/>
    <mergeCell ref="AU12:BC18"/>
    <mergeCell ref="E9:O11"/>
    <mergeCell ref="P9:U11"/>
    <mergeCell ref="V9:AA11"/>
    <mergeCell ref="AB9:AG11"/>
    <mergeCell ref="AH9:AN11"/>
    <mergeCell ref="AO9:AT11"/>
    <mergeCell ref="AE1:BE1"/>
    <mergeCell ref="A2:BE2"/>
    <mergeCell ref="E4:O8"/>
    <mergeCell ref="P4:U8"/>
    <mergeCell ref="V4:AA8"/>
    <mergeCell ref="AB4:AG8"/>
    <mergeCell ref="AH4:AN8"/>
    <mergeCell ref="AO4:AT8"/>
    <mergeCell ref="AU4:BC8"/>
  </mergeCells>
  <phoneticPr fontId="116"/>
  <printOptions horizontalCentered="1"/>
  <pageMargins left="0.39370078740157483" right="0.39370078740157483" top="0.59055118110236227" bottom="0.59055118110236227"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sheetPr>
  <dimension ref="A1:AB52"/>
  <sheetViews>
    <sheetView zoomScaleNormal="100" workbookViewId="0"/>
  </sheetViews>
  <sheetFormatPr defaultColWidth="3.125" defaultRowHeight="15" customHeight="1"/>
  <cols>
    <col min="1" max="27" width="3.125" style="17" customWidth="1"/>
    <col min="28" max="28" width="1.25" style="17" customWidth="1"/>
    <col min="29" max="29" width="3.125" style="17" customWidth="1"/>
    <col min="30" max="16384" width="3.125" style="17"/>
  </cols>
  <sheetData>
    <row r="1" spans="1:28" ht="15" customHeight="1">
      <c r="A1" s="1066" t="s">
        <v>3283</v>
      </c>
      <c r="B1" s="1066"/>
      <c r="C1" s="1066"/>
      <c r="D1" s="1066"/>
      <c r="E1" s="1066"/>
      <c r="F1" s="1066"/>
      <c r="G1" s="1066"/>
      <c r="H1" s="1066"/>
      <c r="I1" s="1066"/>
      <c r="J1" s="1066"/>
      <c r="K1" s="1066"/>
      <c r="L1" s="1066"/>
      <c r="M1" s="1066"/>
      <c r="N1" s="1066"/>
      <c r="O1" s="1066"/>
      <c r="P1" s="1066"/>
      <c r="Q1" s="1066"/>
      <c r="R1" s="1066"/>
      <c r="S1" s="1066"/>
      <c r="T1" s="1066"/>
      <c r="U1" s="1066"/>
      <c r="V1" s="1066"/>
      <c r="W1" s="1066"/>
      <c r="X1" s="1066"/>
      <c r="Y1" s="1066"/>
      <c r="Z1" s="1066"/>
      <c r="AA1" s="1066"/>
      <c r="AB1" s="1066"/>
    </row>
    <row r="2" spans="1:28" ht="15" customHeight="1">
      <c r="A2" s="17" t="s">
        <v>3284</v>
      </c>
    </row>
    <row r="4" spans="1:28" ht="15" customHeight="1">
      <c r="I4" s="1067" t="str">
        <f>cst_wskakunin_owner1_NAME</f>
        <v/>
      </c>
      <c r="J4" s="1067"/>
      <c r="K4" s="1067"/>
      <c r="L4" s="1067"/>
      <c r="M4" s="1067"/>
      <c r="N4" s="1067"/>
      <c r="O4" s="1067"/>
      <c r="P4" s="1067"/>
      <c r="Q4" s="1067"/>
      <c r="R4" s="1067"/>
      <c r="S4" s="1067"/>
      <c r="V4" s="1068" t="str">
        <f>cst_wskakunin_owner1_TEL</f>
        <v/>
      </c>
      <c r="W4" s="1068"/>
      <c r="X4" s="1068"/>
      <c r="Y4" s="1068"/>
      <c r="Z4" s="1068"/>
      <c r="AA4" s="1068"/>
    </row>
    <row r="5" spans="1:28" ht="15" customHeight="1">
      <c r="I5" s="1067" t="str">
        <f>cst_wskakunin_owner2_NAME</f>
        <v/>
      </c>
      <c r="J5" s="1067"/>
      <c r="K5" s="1067"/>
      <c r="L5" s="1067"/>
      <c r="M5" s="1067"/>
      <c r="N5" s="1067"/>
      <c r="O5" s="1067"/>
      <c r="P5" s="1067"/>
      <c r="Q5" s="1067"/>
      <c r="R5" s="1067"/>
      <c r="S5" s="1067"/>
      <c r="V5" s="1068" t="str">
        <f>cst_wskakunin_owner2_TEL</f>
        <v/>
      </c>
      <c r="W5" s="1068"/>
      <c r="X5" s="1068"/>
      <c r="Y5" s="1068"/>
      <c r="Z5" s="1068"/>
      <c r="AA5" s="1068"/>
    </row>
    <row r="6" spans="1:28" ht="15" customHeight="1">
      <c r="I6" s="1067" t="str">
        <f>cst_wskakunin_owner3_NAME</f>
        <v/>
      </c>
      <c r="J6" s="1067"/>
      <c r="K6" s="1067"/>
      <c r="L6" s="1067"/>
      <c r="M6" s="1067"/>
      <c r="N6" s="1067"/>
      <c r="O6" s="1067"/>
      <c r="P6" s="1067"/>
      <c r="Q6" s="1067"/>
      <c r="R6" s="1067"/>
      <c r="S6" s="1067"/>
      <c r="V6" s="1068" t="str">
        <f>cst_wskakunin_owner3_TEL</f>
        <v/>
      </c>
      <c r="W6" s="1068"/>
      <c r="X6" s="1068"/>
      <c r="Y6" s="1068"/>
      <c r="Z6" s="1068"/>
      <c r="AA6" s="1068"/>
    </row>
    <row r="7" spans="1:28" ht="15" customHeight="1">
      <c r="I7" s="1067" t="str">
        <f>cst_wskakunin_owner4_NAME</f>
        <v/>
      </c>
      <c r="J7" s="1067"/>
      <c r="K7" s="1067"/>
      <c r="L7" s="1067"/>
      <c r="M7" s="1067"/>
      <c r="N7" s="1067"/>
      <c r="O7" s="1067"/>
      <c r="P7" s="1067"/>
      <c r="Q7" s="1067"/>
      <c r="R7" s="1067"/>
      <c r="S7" s="1067"/>
      <c r="V7" s="1068" t="str">
        <f>cst_wskakunin_owner4_TEL</f>
        <v/>
      </c>
      <c r="W7" s="1068"/>
      <c r="X7" s="1068"/>
      <c r="Y7" s="1068"/>
      <c r="Z7" s="1068"/>
      <c r="AA7" s="1068"/>
    </row>
    <row r="8" spans="1:28" ht="16.5" customHeight="1">
      <c r="B8" s="184" t="s">
        <v>3285</v>
      </c>
      <c r="C8" s="184"/>
      <c r="D8" s="184"/>
      <c r="E8" s="184"/>
      <c r="G8" s="184" t="s">
        <v>247</v>
      </c>
      <c r="H8" s="184"/>
      <c r="I8" s="1069" t="str">
        <f>cst_wskakunin_owner5_NAME</f>
        <v/>
      </c>
      <c r="J8" s="1069"/>
      <c r="K8" s="1069"/>
      <c r="L8" s="1069"/>
      <c r="M8" s="1069"/>
      <c r="N8" s="1069"/>
      <c r="O8" s="1069"/>
      <c r="P8" s="1069"/>
      <c r="Q8" s="1069"/>
      <c r="R8" s="1069"/>
      <c r="S8" s="1069"/>
      <c r="T8" s="184" t="s">
        <v>3286</v>
      </c>
      <c r="U8" s="184"/>
      <c r="V8" s="1065" t="str">
        <f>cst_wskakunin_owner5_TEL</f>
        <v/>
      </c>
      <c r="W8" s="1065"/>
      <c r="X8" s="1065"/>
      <c r="Y8" s="1065"/>
      <c r="Z8" s="1065"/>
      <c r="AA8" s="1065"/>
      <c r="AB8" s="17" t="s">
        <v>2913</v>
      </c>
    </row>
    <row r="9" spans="1:28" ht="12.2" customHeight="1">
      <c r="G9" s="1070" t="str">
        <f>cst_wskakunin_BUILD__address</f>
        <v/>
      </c>
      <c r="H9" s="1070"/>
      <c r="I9" s="1070"/>
      <c r="J9" s="1070"/>
      <c r="K9" s="1070"/>
      <c r="L9" s="1070"/>
      <c r="M9" s="1070"/>
      <c r="N9" s="1070"/>
      <c r="O9" s="1070"/>
      <c r="P9" s="1070"/>
      <c r="Q9" s="1070"/>
      <c r="R9" s="1070"/>
      <c r="S9" s="1070"/>
      <c r="T9" s="1070"/>
      <c r="U9" s="1070"/>
      <c r="V9" s="1070"/>
      <c r="W9" s="1070"/>
      <c r="X9" s="1070"/>
      <c r="Y9" s="1070"/>
      <c r="Z9" s="1070"/>
      <c r="AA9" s="1070"/>
    </row>
    <row r="10" spans="1:28" ht="12.2" customHeight="1">
      <c r="G10" s="1071"/>
      <c r="H10" s="1071"/>
      <c r="I10" s="1071"/>
      <c r="J10" s="1071"/>
      <c r="K10" s="1071"/>
      <c r="L10" s="1071"/>
      <c r="M10" s="1071"/>
      <c r="N10" s="1071"/>
      <c r="O10" s="1071"/>
      <c r="P10" s="1071"/>
      <c r="Q10" s="1071"/>
      <c r="R10" s="1071"/>
      <c r="S10" s="1071"/>
      <c r="T10" s="1071"/>
      <c r="U10" s="1071"/>
      <c r="V10" s="1071"/>
      <c r="W10" s="1071"/>
      <c r="X10" s="1071"/>
      <c r="Y10" s="1071"/>
      <c r="Z10" s="1071"/>
      <c r="AA10" s="1071"/>
    </row>
    <row r="11" spans="1:28" ht="12.2" customHeight="1">
      <c r="G11" s="1071"/>
      <c r="H11" s="1071"/>
      <c r="I11" s="1071"/>
      <c r="J11" s="1071"/>
      <c r="K11" s="1071"/>
      <c r="L11" s="1071"/>
      <c r="M11" s="1071"/>
      <c r="N11" s="1071"/>
      <c r="O11" s="1071"/>
      <c r="P11" s="1071"/>
      <c r="Q11" s="1071"/>
      <c r="R11" s="1071"/>
      <c r="S11" s="1071"/>
      <c r="T11" s="1071"/>
      <c r="U11" s="1071"/>
      <c r="V11" s="1071"/>
      <c r="W11" s="1071"/>
      <c r="X11" s="1071"/>
      <c r="Y11" s="1071"/>
      <c r="Z11" s="1071"/>
      <c r="AA11" s="1071"/>
    </row>
    <row r="12" spans="1:28" ht="12.2" customHeight="1">
      <c r="B12" s="184" t="s">
        <v>3287</v>
      </c>
      <c r="C12" s="184"/>
      <c r="D12" s="184"/>
      <c r="E12" s="184"/>
      <c r="G12" s="1072"/>
      <c r="H12" s="1072"/>
      <c r="I12" s="1072"/>
      <c r="J12" s="1072"/>
      <c r="K12" s="1072"/>
      <c r="L12" s="1072"/>
      <c r="M12" s="1072"/>
      <c r="N12" s="1072"/>
      <c r="O12" s="1072"/>
      <c r="P12" s="1072"/>
      <c r="Q12" s="1072"/>
      <c r="R12" s="1072"/>
      <c r="S12" s="1072"/>
      <c r="T12" s="1072"/>
      <c r="U12" s="1072"/>
      <c r="V12" s="1072"/>
      <c r="W12" s="1072"/>
      <c r="X12" s="1072"/>
      <c r="Y12" s="1072"/>
      <c r="Z12" s="1072"/>
      <c r="AA12" s="1072"/>
    </row>
    <row r="13" spans="1:28" ht="15" customHeight="1">
      <c r="B13" s="289" t="s">
        <v>3288</v>
      </c>
      <c r="C13" s="289"/>
      <c r="D13" s="289"/>
      <c r="E13" s="289"/>
      <c r="G13" s="1064"/>
      <c r="H13" s="1064"/>
      <c r="I13" s="1064"/>
      <c r="J13" s="1064"/>
      <c r="K13" s="1064"/>
      <c r="L13" s="1064"/>
      <c r="M13" s="289" t="s">
        <v>2966</v>
      </c>
      <c r="O13" s="184" t="s">
        <v>3289</v>
      </c>
      <c r="P13" s="184"/>
      <c r="Q13" s="184"/>
      <c r="R13" s="184"/>
      <c r="T13" s="1065" t="str">
        <f>cst_wskakunin_YOUTO</f>
        <v/>
      </c>
      <c r="U13" s="1065"/>
      <c r="V13" s="1065"/>
      <c r="W13" s="1065"/>
      <c r="X13" s="1065"/>
      <c r="Y13" s="1065"/>
      <c r="Z13" s="1065"/>
      <c r="AA13" s="1065"/>
    </row>
    <row r="14" spans="1:28" ht="15" customHeight="1">
      <c r="B14" s="184" t="s">
        <v>3290</v>
      </c>
      <c r="C14" s="184"/>
      <c r="D14" s="184"/>
      <c r="E14" s="184"/>
      <c r="G14" s="1073"/>
      <c r="H14" s="1073"/>
      <c r="I14" s="1073"/>
      <c r="J14" s="1073"/>
      <c r="K14" s="1073"/>
      <c r="L14" s="1073"/>
      <c r="M14" s="289" t="s">
        <v>2966</v>
      </c>
      <c r="O14" s="289" t="s">
        <v>3291</v>
      </c>
      <c r="P14" s="289"/>
      <c r="Q14" s="289"/>
      <c r="R14" s="289"/>
      <c r="T14" s="289"/>
      <c r="U14" s="1073"/>
      <c r="V14" s="1073"/>
      <c r="W14" s="1073"/>
      <c r="X14" s="1073"/>
      <c r="Y14" s="1073"/>
      <c r="Z14" s="1073"/>
      <c r="AA14" s="289" t="s">
        <v>2966</v>
      </c>
    </row>
    <row r="15" spans="1:28" ht="15" customHeight="1">
      <c r="B15" s="184" t="s">
        <v>3292</v>
      </c>
      <c r="C15" s="184"/>
      <c r="D15" s="184"/>
      <c r="E15" s="184"/>
      <c r="F15" s="184"/>
      <c r="G15" s="184"/>
      <c r="H15" s="184"/>
      <c r="I15" s="1065" t="str">
        <f>cst_wskakunin_KOUZOU1</f>
        <v/>
      </c>
      <c r="J15" s="1065"/>
      <c r="K15" s="1065"/>
      <c r="L15" s="1065"/>
      <c r="M15" s="1065"/>
      <c r="N15" s="1065"/>
      <c r="O15" s="1065"/>
    </row>
    <row r="17" spans="1:27" ht="15" customHeight="1">
      <c r="A17" s="17" t="s">
        <v>3293</v>
      </c>
    </row>
    <row r="18" spans="1:27" ht="16.5" customHeight="1">
      <c r="A18" s="17" t="s">
        <v>3294</v>
      </c>
    </row>
    <row r="19" spans="1:27" ht="15" customHeight="1">
      <c r="A19" s="17" t="s">
        <v>3295</v>
      </c>
    </row>
    <row r="20" spans="1:27" ht="15" customHeight="1">
      <c r="B20" s="184" t="s">
        <v>3296</v>
      </c>
      <c r="C20" s="184"/>
      <c r="D20" s="290"/>
      <c r="E20" s="184" t="s">
        <v>3297</v>
      </c>
      <c r="F20" s="184"/>
      <c r="G20" s="290"/>
      <c r="H20" s="184" t="s">
        <v>3298</v>
      </c>
      <c r="I20" s="184"/>
      <c r="J20" s="290"/>
      <c r="K20" s="184" t="s">
        <v>3299</v>
      </c>
      <c r="L20" s="184"/>
      <c r="M20" s="290"/>
      <c r="N20" s="184" t="s">
        <v>3300</v>
      </c>
      <c r="O20" s="184"/>
      <c r="P20" s="290"/>
      <c r="Q20" s="184" t="s">
        <v>3301</v>
      </c>
      <c r="R20" s="184"/>
      <c r="S20" s="290"/>
      <c r="T20" s="184" t="s">
        <v>3302</v>
      </c>
      <c r="U20" s="184"/>
      <c r="V20" s="184"/>
      <c r="W20" s="186" t="s">
        <v>1787</v>
      </c>
      <c r="X20" s="1074" t="str">
        <f>cst_wskakunin_DOURO_FUKUIN</f>
        <v/>
      </c>
      <c r="Y20" s="1074"/>
      <c r="Z20" s="1074"/>
      <c r="AA20" s="184" t="s">
        <v>2961</v>
      </c>
    </row>
    <row r="21" spans="1:27" ht="16.5" customHeight="1">
      <c r="B21" s="289"/>
      <c r="C21" s="289"/>
      <c r="D21" s="289"/>
      <c r="E21" s="291" t="s">
        <v>3303</v>
      </c>
      <c r="F21" s="1075" t="s">
        <v>3304</v>
      </c>
      <c r="G21" s="1075"/>
      <c r="H21" s="1075"/>
      <c r="I21" s="1075"/>
      <c r="J21" s="1075"/>
      <c r="K21" s="1075"/>
      <c r="L21" s="1075"/>
      <c r="P21" s="289"/>
      <c r="Q21" s="289"/>
      <c r="R21" s="291" t="s">
        <v>3305</v>
      </c>
      <c r="S21" s="1075"/>
      <c r="T21" s="1075"/>
      <c r="U21" s="1075"/>
      <c r="V21" s="1075"/>
      <c r="W21" s="1075"/>
      <c r="X21" s="1075"/>
      <c r="Y21" s="1075"/>
      <c r="Z21" s="1075"/>
      <c r="AA21" s="289" t="s">
        <v>2849</v>
      </c>
    </row>
    <row r="22" spans="1:27" ht="15" customHeight="1">
      <c r="A22" s="17" t="s">
        <v>3306</v>
      </c>
    </row>
    <row r="23" spans="1:27" ht="15" customHeight="1">
      <c r="B23" s="184" t="s">
        <v>3307</v>
      </c>
      <c r="C23" s="184"/>
      <c r="D23" s="184"/>
      <c r="E23" s="184"/>
      <c r="F23" s="184"/>
      <c r="G23" s="184"/>
      <c r="I23" s="186" t="s">
        <v>2912</v>
      </c>
      <c r="J23" s="290"/>
      <c r="K23" s="184" t="s">
        <v>3011</v>
      </c>
      <c r="L23" s="248" t="s">
        <v>3308</v>
      </c>
      <c r="M23" s="290"/>
      <c r="N23" s="184" t="s">
        <v>3012</v>
      </c>
      <c r="O23" s="184" t="s">
        <v>2913</v>
      </c>
    </row>
    <row r="24" spans="1:27" ht="16.5" customHeight="1">
      <c r="B24" s="184"/>
      <c r="C24" s="184"/>
      <c r="D24" s="184"/>
      <c r="E24" s="186" t="s">
        <v>3309</v>
      </c>
      <c r="F24" s="1076" t="s">
        <v>3304</v>
      </c>
      <c r="G24" s="1076"/>
      <c r="H24" s="1076"/>
      <c r="I24" s="1076"/>
      <c r="J24" s="1076"/>
      <c r="K24" s="1076"/>
      <c r="L24" s="1076"/>
      <c r="M24" s="184"/>
      <c r="N24" s="184"/>
      <c r="O24" s="186" t="s">
        <v>3310</v>
      </c>
      <c r="P24" s="1076"/>
      <c r="Q24" s="1076"/>
      <c r="R24" s="1076"/>
      <c r="S24" s="1076"/>
      <c r="T24" s="1076"/>
      <c r="U24" s="184" t="s">
        <v>2849</v>
      </c>
      <c r="V24" s="184"/>
      <c r="W24" s="186" t="s">
        <v>3311</v>
      </c>
      <c r="X24" s="1077"/>
      <c r="Y24" s="1077"/>
      <c r="Z24" s="1077"/>
      <c r="AA24" s="184" t="s">
        <v>2961</v>
      </c>
    </row>
    <row r="26" spans="1:27" ht="15" customHeight="1">
      <c r="A26" s="17" t="s">
        <v>3312</v>
      </c>
    </row>
    <row r="27" spans="1:27" ht="21.75" customHeight="1">
      <c r="A27" s="17" t="s">
        <v>3313</v>
      </c>
      <c r="I27" s="186" t="s">
        <v>2912</v>
      </c>
      <c r="J27" s="290" t="str">
        <f>cst_wskakunin_KUIKI_TOSI</f>
        <v>□</v>
      </c>
      <c r="K27" s="184" t="s">
        <v>3314</v>
      </c>
      <c r="L27" s="248" t="s">
        <v>3308</v>
      </c>
      <c r="M27" s="290" t="str">
        <f>cst_wskakunin_KUIKI_KUIKIGAI</f>
        <v>□</v>
      </c>
      <c r="N27" s="184" t="s">
        <v>3315</v>
      </c>
      <c r="O27" s="184" t="s">
        <v>2913</v>
      </c>
    </row>
    <row r="28" spans="1:27" ht="22.5" customHeight="1">
      <c r="I28" s="186" t="s">
        <v>2912</v>
      </c>
      <c r="J28" s="290" t="str">
        <f>cst_wskakunin_KUIKI_SIGAIKA</f>
        <v>□</v>
      </c>
      <c r="K28" s="184" t="s">
        <v>3316</v>
      </c>
      <c r="L28" s="184"/>
      <c r="M28" s="184"/>
      <c r="N28" s="184"/>
      <c r="O28" s="290" t="str">
        <f>cst_wskakunin_KUIKI_TYOSEI</f>
        <v>□</v>
      </c>
      <c r="P28" s="184" t="s">
        <v>3317</v>
      </c>
      <c r="Q28" s="184"/>
      <c r="R28" s="184"/>
      <c r="S28" s="184"/>
      <c r="T28" s="184"/>
      <c r="U28" s="290" t="str">
        <f>cst_wskakunin_KUIKI_HISETTEI</f>
        <v>□</v>
      </c>
      <c r="V28" s="184" t="s">
        <v>3318</v>
      </c>
      <c r="W28" s="184"/>
      <c r="X28" s="184"/>
    </row>
    <row r="29" spans="1:27" ht="20.100000000000001" customHeight="1">
      <c r="A29" s="17" t="s">
        <v>3319</v>
      </c>
      <c r="F29" s="1076"/>
      <c r="G29" s="1076"/>
      <c r="H29" s="1076"/>
      <c r="I29" s="1076"/>
      <c r="J29" s="1076"/>
      <c r="K29" s="1076"/>
      <c r="L29" s="1076"/>
      <c r="M29" s="184" t="s">
        <v>3320</v>
      </c>
      <c r="N29" s="184"/>
      <c r="O29" s="184"/>
      <c r="P29" s="184"/>
      <c r="Q29" s="186" t="s">
        <v>2476</v>
      </c>
      <c r="R29" s="1076"/>
      <c r="S29" s="1076"/>
      <c r="T29" s="1076"/>
      <c r="U29" s="184" t="s">
        <v>2971</v>
      </c>
      <c r="V29" s="184" t="s">
        <v>1833</v>
      </c>
      <c r="W29" s="184"/>
      <c r="X29" s="1076"/>
      <c r="Y29" s="1076"/>
      <c r="Z29" s="1076"/>
      <c r="AA29" s="184" t="s">
        <v>2971</v>
      </c>
    </row>
    <row r="30" spans="1:27" ht="20.100000000000001" customHeight="1">
      <c r="A30" s="17" t="s">
        <v>3321</v>
      </c>
      <c r="H30" s="289" t="s">
        <v>2912</v>
      </c>
      <c r="I30" s="292" t="str">
        <f>cst_wskakunin_BOUKA_BOUKA</f>
        <v>□</v>
      </c>
      <c r="J30" s="289" t="s">
        <v>3322</v>
      </c>
      <c r="K30" s="289"/>
      <c r="L30" s="289" t="s">
        <v>3308</v>
      </c>
      <c r="M30" s="292" t="str">
        <f>cst_wskakunin_BOUKA_JYUN_BOUKA</f>
        <v>□</v>
      </c>
      <c r="N30" s="289" t="s">
        <v>3323</v>
      </c>
      <c r="O30" s="289"/>
      <c r="P30" s="289" t="s">
        <v>3308</v>
      </c>
      <c r="Q30" s="292" t="str">
        <f>cst_wskakunin_BOUKA_NASI</f>
        <v>□</v>
      </c>
      <c r="R30" s="289" t="s">
        <v>3324</v>
      </c>
      <c r="S30" s="289"/>
      <c r="T30" s="289"/>
    </row>
    <row r="31" spans="1:27" ht="20.100000000000001" customHeight="1">
      <c r="A31" s="17" t="s">
        <v>3325</v>
      </c>
      <c r="I31" s="291" t="s">
        <v>2912</v>
      </c>
      <c r="J31" s="290"/>
      <c r="K31" s="289" t="s">
        <v>3314</v>
      </c>
      <c r="L31" s="293" t="s">
        <v>3308</v>
      </c>
      <c r="M31" s="290"/>
      <c r="N31" s="289" t="s">
        <v>3315</v>
      </c>
      <c r="O31" s="289" t="s">
        <v>2913</v>
      </c>
    </row>
    <row r="32" spans="1:27" ht="20.25" customHeight="1">
      <c r="A32" s="17" t="s">
        <v>3326</v>
      </c>
      <c r="I32" s="291" t="s">
        <v>2912</v>
      </c>
      <c r="J32" s="290"/>
      <c r="K32" s="289" t="s">
        <v>3314</v>
      </c>
      <c r="L32" s="293" t="s">
        <v>3308</v>
      </c>
      <c r="M32" s="290"/>
      <c r="N32" s="289" t="s">
        <v>3315</v>
      </c>
      <c r="O32" s="289" t="s">
        <v>2913</v>
      </c>
    </row>
    <row r="33" spans="1:28" ht="20.25" customHeight="1">
      <c r="A33" s="17" t="s">
        <v>3327</v>
      </c>
      <c r="I33" s="291" t="s">
        <v>2912</v>
      </c>
      <c r="J33" s="290"/>
      <c r="K33" s="289" t="s">
        <v>3314</v>
      </c>
      <c r="L33" s="293" t="s">
        <v>3308</v>
      </c>
      <c r="M33" s="290"/>
      <c r="N33" s="289" t="s">
        <v>3315</v>
      </c>
      <c r="O33" s="289" t="s">
        <v>2913</v>
      </c>
    </row>
    <row r="34" spans="1:28" ht="20.25" customHeight="1">
      <c r="A34" s="17" t="s">
        <v>3328</v>
      </c>
      <c r="I34" s="291" t="s">
        <v>2912</v>
      </c>
      <c r="J34" s="290"/>
      <c r="K34" s="289" t="s">
        <v>3314</v>
      </c>
      <c r="L34" s="293" t="s">
        <v>3308</v>
      </c>
      <c r="M34" s="290"/>
      <c r="N34" s="289" t="s">
        <v>3315</v>
      </c>
      <c r="O34" s="289" t="s">
        <v>2913</v>
      </c>
    </row>
    <row r="35" spans="1:28" ht="20.25" customHeight="1">
      <c r="A35" s="17" t="s">
        <v>3329</v>
      </c>
      <c r="I35" s="291" t="s">
        <v>2912</v>
      </c>
      <c r="J35" s="290"/>
      <c r="K35" s="289" t="s">
        <v>3314</v>
      </c>
      <c r="L35" s="293" t="s">
        <v>3308</v>
      </c>
      <c r="M35" s="290"/>
      <c r="N35" s="289" t="s">
        <v>3315</v>
      </c>
      <c r="O35" s="289" t="s">
        <v>2913</v>
      </c>
    </row>
    <row r="36" spans="1:28" ht="20.100000000000001" customHeight="1">
      <c r="H36" s="1085" t="s">
        <v>3330</v>
      </c>
      <c r="I36" s="1085"/>
      <c r="J36" s="1085"/>
      <c r="K36" s="1085"/>
      <c r="L36" s="1076" t="s">
        <v>3304</v>
      </c>
      <c r="M36" s="1076"/>
      <c r="N36" s="1076"/>
      <c r="O36" s="1076"/>
      <c r="P36" s="1076"/>
      <c r="Q36" s="1076"/>
      <c r="R36" s="1076"/>
      <c r="S36" s="184"/>
      <c r="T36" s="184"/>
      <c r="U36" s="186" t="s">
        <v>3310</v>
      </c>
      <c r="V36" s="1076"/>
      <c r="W36" s="1076"/>
      <c r="X36" s="1076"/>
      <c r="Y36" s="1076"/>
      <c r="Z36" s="1076"/>
      <c r="AA36" s="184" t="s">
        <v>2849</v>
      </c>
    </row>
    <row r="37" spans="1:28" ht="20.25" customHeight="1">
      <c r="A37" s="17" t="s">
        <v>3331</v>
      </c>
      <c r="I37" s="291" t="s">
        <v>2912</v>
      </c>
      <c r="J37" s="290"/>
      <c r="K37" s="289" t="s">
        <v>3314</v>
      </c>
      <c r="L37" s="293" t="s">
        <v>3308</v>
      </c>
      <c r="M37" s="290"/>
      <c r="N37" s="289" t="s">
        <v>3315</v>
      </c>
      <c r="O37" s="289" t="s">
        <v>2913</v>
      </c>
    </row>
    <row r="38" spans="1:28" ht="16.5" customHeight="1">
      <c r="A38" s="17" t="s">
        <v>3332</v>
      </c>
      <c r="M38" s="1076"/>
      <c r="N38" s="1076"/>
      <c r="O38" s="1076"/>
      <c r="P38" s="1076"/>
      <c r="Q38" s="1076"/>
      <c r="R38" s="1076"/>
      <c r="S38" s="1076"/>
      <c r="T38" s="1076"/>
      <c r="U38" s="1076"/>
      <c r="V38" s="1076"/>
      <c r="W38" s="1076"/>
      <c r="X38" s="1076"/>
      <c r="Y38" s="1076"/>
      <c r="Z38" s="1076"/>
      <c r="AA38" s="1076"/>
    </row>
    <row r="39" spans="1:28" ht="15" customHeight="1">
      <c r="A39" s="17" t="s">
        <v>3333</v>
      </c>
    </row>
    <row r="40" spans="1:28" ht="19.350000000000001" customHeight="1">
      <c r="A40" s="17" t="s">
        <v>3334</v>
      </c>
      <c r="I40" s="186" t="s">
        <v>2912</v>
      </c>
      <c r="J40" s="290"/>
      <c r="K40" s="184" t="s">
        <v>3011</v>
      </c>
      <c r="L40" s="248" t="s">
        <v>3308</v>
      </c>
      <c r="M40" s="290"/>
      <c r="N40" s="184" t="s">
        <v>3012</v>
      </c>
      <c r="O40" s="184" t="s">
        <v>2913</v>
      </c>
    </row>
    <row r="41" spans="1:28" ht="20.25" customHeight="1">
      <c r="A41" s="17" t="s">
        <v>3335</v>
      </c>
      <c r="I41" s="291" t="s">
        <v>2912</v>
      </c>
      <c r="J41" s="290"/>
      <c r="K41" s="289" t="s">
        <v>3011</v>
      </c>
      <c r="L41" s="293" t="s">
        <v>3308</v>
      </c>
      <c r="M41" s="290"/>
      <c r="N41" s="289" t="s">
        <v>3012</v>
      </c>
      <c r="O41" s="289" t="s">
        <v>2913</v>
      </c>
    </row>
    <row r="42" spans="1:28" ht="20.25" customHeight="1">
      <c r="A42" s="17" t="s">
        <v>3336</v>
      </c>
      <c r="I42" s="291" t="s">
        <v>2912</v>
      </c>
      <c r="J42" s="290"/>
      <c r="K42" s="289" t="s">
        <v>3011</v>
      </c>
      <c r="L42" s="293" t="s">
        <v>3308</v>
      </c>
      <c r="M42" s="290"/>
      <c r="N42" s="289" t="s">
        <v>3012</v>
      </c>
      <c r="O42" s="289" t="s">
        <v>2913</v>
      </c>
    </row>
    <row r="43" spans="1:28" ht="13.5" customHeight="1">
      <c r="A43" s="29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row>
    <row r="44" spans="1:28" ht="9.75" customHeight="1">
      <c r="A44" s="1078" t="s">
        <v>3337</v>
      </c>
      <c r="B44" s="1078"/>
      <c r="C44" s="1078"/>
      <c r="D44" s="1078"/>
      <c r="E44" s="1078"/>
      <c r="F44" s="1078"/>
      <c r="G44" s="1078"/>
    </row>
    <row r="45" spans="1:28" ht="9" customHeight="1">
      <c r="A45" s="1079"/>
      <c r="B45" s="1079"/>
      <c r="C45" s="1079"/>
      <c r="D45" s="1079"/>
      <c r="E45" s="1079"/>
      <c r="F45" s="1079"/>
      <c r="G45" s="1079"/>
      <c r="V45" s="1080" t="s">
        <v>3338</v>
      </c>
      <c r="W45" s="1081"/>
      <c r="X45" s="1081"/>
      <c r="Y45" s="1081"/>
      <c r="Z45" s="1081"/>
      <c r="AA45" s="1082"/>
    </row>
    <row r="46" spans="1:28" ht="9" customHeight="1">
      <c r="V46" s="1083"/>
      <c r="W46" s="1066"/>
      <c r="X46" s="1066"/>
      <c r="Y46" s="1066"/>
      <c r="Z46" s="1066"/>
      <c r="AA46" s="1084"/>
    </row>
    <row r="47" spans="1:28" ht="15" customHeight="1">
      <c r="A47" s="17" t="s">
        <v>3339</v>
      </c>
      <c r="V47" s="1083"/>
      <c r="W47" s="1066"/>
      <c r="X47" s="1066"/>
      <c r="Y47" s="1066"/>
      <c r="Z47" s="1066"/>
      <c r="AA47" s="1084"/>
    </row>
    <row r="48" spans="1:28" ht="15" customHeight="1">
      <c r="V48" s="187"/>
      <c r="W48" s="188"/>
      <c r="X48" s="188"/>
      <c r="Y48" s="188"/>
      <c r="Z48" s="188"/>
      <c r="AA48" s="295"/>
    </row>
    <row r="49" spans="3:27" ht="20.25" customHeight="1">
      <c r="C49" s="296" t="s">
        <v>3340</v>
      </c>
      <c r="E49" s="1067" t="str">
        <f>cst_wskakunin_sekkei1_JIMU_NAME</f>
        <v/>
      </c>
      <c r="F49" s="1067"/>
      <c r="G49" s="1067"/>
      <c r="H49" s="1067"/>
      <c r="I49" s="1067"/>
      <c r="J49" s="1067"/>
      <c r="K49" s="1067"/>
      <c r="L49" s="1067"/>
      <c r="M49" s="1067"/>
      <c r="N49" s="1067"/>
      <c r="O49" s="1067"/>
      <c r="P49" s="1067"/>
      <c r="Q49" s="1067"/>
      <c r="R49" s="1067"/>
      <c r="S49" s="1067"/>
      <c r="T49" s="1067"/>
      <c r="V49" s="297"/>
      <c r="AA49" s="189"/>
    </row>
    <row r="50" spans="3:27" ht="20.25" customHeight="1">
      <c r="C50" s="296" t="s">
        <v>247</v>
      </c>
      <c r="E50" s="1067" t="str">
        <f>cst_wskakunin_sekkei1_NAME</f>
        <v/>
      </c>
      <c r="F50" s="1067"/>
      <c r="G50" s="1067"/>
      <c r="H50" s="1067"/>
      <c r="I50" s="1067"/>
      <c r="J50" s="1067"/>
      <c r="K50" s="1067"/>
      <c r="L50" s="1067"/>
      <c r="M50" s="1067"/>
      <c r="N50" s="1067"/>
      <c r="O50" s="1067"/>
      <c r="P50" s="1067"/>
      <c r="Q50" s="1067"/>
      <c r="R50" s="1067"/>
      <c r="S50" s="1067"/>
      <c r="T50" s="1067"/>
      <c r="V50" s="297"/>
      <c r="AA50" s="189"/>
    </row>
    <row r="51" spans="3:27" ht="16.5" customHeight="1">
      <c r="C51" s="296" t="s">
        <v>3341</v>
      </c>
      <c r="E51" s="1067" t="str">
        <f>cst_wskakunin_sekkei1_TEL</f>
        <v/>
      </c>
      <c r="F51" s="1067"/>
      <c r="G51" s="1067"/>
      <c r="H51" s="1067"/>
      <c r="I51" s="1067"/>
      <c r="J51" s="1067"/>
      <c r="K51" s="1067"/>
      <c r="L51" s="1067"/>
      <c r="M51" s="1067"/>
      <c r="N51" s="1067"/>
      <c r="O51" s="1067"/>
      <c r="P51" s="1067"/>
      <c r="Q51" s="1067"/>
      <c r="R51" s="1067"/>
      <c r="S51" s="1067"/>
      <c r="T51" s="1067"/>
      <c r="V51" s="297"/>
      <c r="AA51" s="189"/>
    </row>
    <row r="52" spans="3:27" ht="16.5" customHeight="1">
      <c r="V52" s="298"/>
      <c r="W52" s="184"/>
      <c r="X52" s="184"/>
      <c r="Y52" s="184"/>
      <c r="Z52" s="184"/>
      <c r="AA52" s="190"/>
    </row>
  </sheetData>
  <mergeCells count="36">
    <mergeCell ref="E49:T49"/>
    <mergeCell ref="E50:T50"/>
    <mergeCell ref="E51:T51"/>
    <mergeCell ref="H36:K36"/>
    <mergeCell ref="L36:R36"/>
    <mergeCell ref="V36:Z36"/>
    <mergeCell ref="M38:X38"/>
    <mergeCell ref="Y38:AA38"/>
    <mergeCell ref="A44:G45"/>
    <mergeCell ref="V45:AA47"/>
    <mergeCell ref="F24:L24"/>
    <mergeCell ref="P24:T24"/>
    <mergeCell ref="X24:Z24"/>
    <mergeCell ref="F29:L29"/>
    <mergeCell ref="R29:T29"/>
    <mergeCell ref="X29:Z29"/>
    <mergeCell ref="G14:L14"/>
    <mergeCell ref="U14:Z14"/>
    <mergeCell ref="I15:O15"/>
    <mergeCell ref="X20:Z20"/>
    <mergeCell ref="F21:L21"/>
    <mergeCell ref="S21:Z21"/>
    <mergeCell ref="G13:L13"/>
    <mergeCell ref="T13:AA13"/>
    <mergeCell ref="A1:AB1"/>
    <mergeCell ref="I4:S4"/>
    <mergeCell ref="V4:AA4"/>
    <mergeCell ref="I5:S5"/>
    <mergeCell ref="V5:AA5"/>
    <mergeCell ref="I6:S6"/>
    <mergeCell ref="V6:AA6"/>
    <mergeCell ref="I7:S7"/>
    <mergeCell ref="V7:AA7"/>
    <mergeCell ref="I8:S8"/>
    <mergeCell ref="V8:AA8"/>
    <mergeCell ref="G9:AA12"/>
  </mergeCells>
  <phoneticPr fontId="116"/>
  <dataValidations count="1">
    <dataValidation type="list" allowBlank="1" showInputMessage="1" showErrorMessage="1" sqref="D20 G20 J20 J23 J31:J35 J37 J40:J42 M20 M23 M31:M35 M37 M40:M42 P20 S20" xr:uid="{00000000-0002-0000-1000-000000000000}">
      <formula1>"　,○"</formula1>
    </dataValidation>
  </dataValidations>
  <printOptions horizontalCentered="1"/>
  <pageMargins left="0.39370078740157483" right="0.39370078740157483" top="0.74803149606299213" bottom="0.74803149606299213" header="0.31496062992125984" footer="0.31496062992125984"/>
  <pageSetup paperSize="9" scale="9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sheetPr>
  <dimension ref="A1:AI234"/>
  <sheetViews>
    <sheetView zoomScaleNormal="100" workbookViewId="0">
      <selection activeCell="A2" sqref="A2"/>
    </sheetView>
  </sheetViews>
  <sheetFormatPr defaultColWidth="2.625" defaultRowHeight="13.7" customHeight="1"/>
  <cols>
    <col min="1" max="1" width="1.25" style="16" customWidth="1"/>
    <col min="2" max="34" width="2.375" style="16" customWidth="1"/>
    <col min="35" max="35" width="2.125" style="16" customWidth="1"/>
    <col min="36" max="36" width="7.625" style="16" customWidth="1"/>
    <col min="37" max="37" width="2.625" style="16" customWidth="1"/>
    <col min="38" max="16384" width="2.625" style="16"/>
  </cols>
  <sheetData>
    <row r="1" spans="1:35" ht="13.7" customHeight="1">
      <c r="A1" s="1086" t="s">
        <v>39</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1087"/>
    </row>
    <row r="2" spans="1:35" ht="13.7" customHeight="1">
      <c r="A2" s="299"/>
      <c r="C2" s="16" t="s">
        <v>3342</v>
      </c>
      <c r="AB2" s="1088" t="s">
        <v>3343</v>
      </c>
      <c r="AC2" s="1088"/>
      <c r="AD2" s="1088"/>
      <c r="AE2" s="1088"/>
      <c r="AF2" s="1088"/>
      <c r="AG2" s="1088"/>
      <c r="AH2" s="1088"/>
      <c r="AI2" s="1089"/>
    </row>
    <row r="3" spans="1:35" ht="13.7" customHeight="1">
      <c r="A3" s="299"/>
      <c r="AI3" s="191"/>
    </row>
    <row r="4" spans="1:35" ht="17.100000000000001" customHeight="1">
      <c r="A4" s="299"/>
      <c r="P4" s="279" t="s">
        <v>234</v>
      </c>
      <c r="S4" s="249" t="s">
        <v>3344</v>
      </c>
      <c r="T4" s="1090" t="str">
        <f>cst_wskakunin_owner1_ZIP</f>
        <v/>
      </c>
      <c r="U4" s="1090"/>
      <c r="V4" s="1090"/>
      <c r="W4" s="1090"/>
      <c r="X4" s="1090"/>
      <c r="AI4" s="191"/>
    </row>
    <row r="5" spans="1:35" ht="17.100000000000001" customHeight="1">
      <c r="A5" s="299"/>
      <c r="R5" s="279" t="s">
        <v>261</v>
      </c>
      <c r="T5" s="1090" t="str">
        <f>cst_wskakunin_owner1__address</f>
        <v/>
      </c>
      <c r="U5" s="1090"/>
      <c r="V5" s="1090"/>
      <c r="W5" s="1090"/>
      <c r="X5" s="1090"/>
      <c r="Y5" s="1090"/>
      <c r="Z5" s="1090"/>
      <c r="AA5" s="1090"/>
      <c r="AB5" s="1090"/>
      <c r="AC5" s="1090"/>
      <c r="AD5" s="1090"/>
      <c r="AE5" s="1090"/>
      <c r="AF5" s="1090"/>
      <c r="AG5" s="1090"/>
      <c r="AH5" s="1090"/>
      <c r="AI5" s="191"/>
    </row>
    <row r="6" spans="1:35" ht="17.100000000000001" customHeight="1">
      <c r="A6" s="299"/>
      <c r="R6" s="279" t="s">
        <v>247</v>
      </c>
      <c r="T6" s="1090" t="str">
        <f>cst_wskakunin_owner1_NAME</f>
        <v/>
      </c>
      <c r="U6" s="1090"/>
      <c r="V6" s="1090"/>
      <c r="W6" s="1090"/>
      <c r="X6" s="1090"/>
      <c r="Y6" s="1090"/>
      <c r="Z6" s="1090"/>
      <c r="AA6" s="1090"/>
      <c r="AB6" s="1090"/>
      <c r="AC6" s="1090"/>
      <c r="AD6" s="1090"/>
      <c r="AE6" s="1090"/>
      <c r="AF6" s="1090"/>
      <c r="AG6" s="1090"/>
      <c r="AH6" s="1090"/>
      <c r="AI6" s="191"/>
    </row>
    <row r="7" spans="1:35" ht="15" customHeight="1">
      <c r="A7" s="299"/>
      <c r="T7" s="1090" t="str">
        <f>cst_wskakunin_owner2_NAME</f>
        <v/>
      </c>
      <c r="U7" s="1090"/>
      <c r="V7" s="1090"/>
      <c r="W7" s="1090"/>
      <c r="X7" s="1090"/>
      <c r="Y7" s="1090"/>
      <c r="Z7" s="1090"/>
      <c r="AA7" s="1090"/>
      <c r="AB7" s="1090"/>
      <c r="AC7" s="1090"/>
      <c r="AD7" s="1090"/>
      <c r="AE7" s="1090"/>
      <c r="AF7" s="1090"/>
      <c r="AG7" s="1090"/>
      <c r="AH7" s="1090"/>
      <c r="AI7" s="191"/>
    </row>
    <row r="8" spans="1:35" ht="15" customHeight="1">
      <c r="A8" s="299"/>
      <c r="T8" s="1090" t="str">
        <f>cst_wskakunin_owner3_NAME</f>
        <v/>
      </c>
      <c r="U8" s="1090"/>
      <c r="V8" s="1090"/>
      <c r="W8" s="1090"/>
      <c r="X8" s="1090"/>
      <c r="Y8" s="1090"/>
      <c r="Z8" s="1090"/>
      <c r="AA8" s="1090"/>
      <c r="AB8" s="1090"/>
      <c r="AC8" s="1090"/>
      <c r="AD8" s="1090"/>
      <c r="AE8" s="1090"/>
      <c r="AF8" s="1090"/>
      <c r="AG8" s="1090"/>
      <c r="AH8" s="1090"/>
      <c r="AI8" s="191"/>
    </row>
    <row r="9" spans="1:35" ht="15" customHeight="1">
      <c r="A9" s="299"/>
      <c r="T9" s="1090" t="str">
        <f>cst_wskakunin_owner4_NAME</f>
        <v/>
      </c>
      <c r="U9" s="1090"/>
      <c r="V9" s="1090"/>
      <c r="W9" s="1090"/>
      <c r="X9" s="1090"/>
      <c r="Y9" s="1090"/>
      <c r="Z9" s="1090"/>
      <c r="AA9" s="1090"/>
      <c r="AB9" s="1090"/>
      <c r="AC9" s="1090"/>
      <c r="AD9" s="1090"/>
      <c r="AE9" s="1090"/>
      <c r="AF9" s="1090"/>
      <c r="AG9" s="1090"/>
      <c r="AH9" s="1090"/>
      <c r="AI9" s="191"/>
    </row>
    <row r="10" spans="1:35" ht="15" customHeight="1">
      <c r="A10" s="299"/>
      <c r="T10" s="1090" t="str">
        <f>cst_wskakunin_owner5_NAME</f>
        <v/>
      </c>
      <c r="U10" s="1090"/>
      <c r="V10" s="1090"/>
      <c r="W10" s="1090"/>
      <c r="X10" s="1090"/>
      <c r="Y10" s="1090"/>
      <c r="Z10" s="1090"/>
      <c r="AA10" s="1090"/>
      <c r="AB10" s="1090"/>
      <c r="AC10" s="1090"/>
      <c r="AD10" s="1090"/>
      <c r="AE10" s="1090"/>
      <c r="AF10" s="1090"/>
      <c r="AG10" s="1090"/>
      <c r="AH10" s="1090"/>
      <c r="AI10" s="191"/>
    </row>
    <row r="11" spans="1:35" ht="15" customHeight="1">
      <c r="A11" s="299"/>
      <c r="R11" s="279" t="s">
        <v>264</v>
      </c>
      <c r="T11" s="1090" t="str">
        <f>cst_wskakunin_owner1_TEL</f>
        <v/>
      </c>
      <c r="U11" s="1090"/>
      <c r="V11" s="1090"/>
      <c r="W11" s="1090"/>
      <c r="X11" s="1090"/>
      <c r="Y11" s="1090"/>
      <c r="Z11" s="1090"/>
      <c r="AA11" s="1090"/>
      <c r="AB11" s="1090"/>
      <c r="AC11" s="1090"/>
      <c r="AD11" s="1090"/>
      <c r="AE11" s="1090"/>
      <c r="AF11" s="1090"/>
      <c r="AG11" s="1090"/>
      <c r="AH11" s="1090"/>
      <c r="AI11" s="191"/>
    </row>
    <row r="12" spans="1:35" ht="15" customHeight="1">
      <c r="A12" s="299"/>
      <c r="B12" s="16" t="s">
        <v>3345</v>
      </c>
      <c r="AI12" s="191"/>
    </row>
    <row r="13" spans="1:35" ht="15" customHeight="1">
      <c r="A13" s="1091" t="s">
        <v>3346</v>
      </c>
      <c r="B13" s="1092"/>
      <c r="C13" s="1092"/>
      <c r="D13" s="1092"/>
      <c r="E13" s="1092"/>
      <c r="F13" s="1092"/>
      <c r="G13" s="1092"/>
      <c r="H13" s="1092"/>
      <c r="I13" s="1092"/>
      <c r="J13" s="1092"/>
      <c r="K13" s="1092"/>
      <c r="L13" s="1092"/>
      <c r="M13" s="1092"/>
      <c r="N13" s="1092"/>
      <c r="O13" s="1092"/>
      <c r="P13" s="1092"/>
      <c r="Q13" s="1092"/>
      <c r="R13" s="1092"/>
      <c r="S13" s="1092"/>
      <c r="T13" s="1092"/>
      <c r="U13" s="1092"/>
      <c r="V13" s="1092"/>
      <c r="W13" s="1092"/>
      <c r="X13" s="1092"/>
      <c r="Y13" s="1092"/>
      <c r="Z13" s="1092"/>
      <c r="AA13" s="1092"/>
      <c r="AB13" s="1092"/>
      <c r="AC13" s="1092"/>
      <c r="AD13" s="1092"/>
      <c r="AE13" s="1092"/>
      <c r="AF13" s="1092"/>
      <c r="AG13" s="1092"/>
      <c r="AH13" s="1092"/>
      <c r="AI13" s="1093"/>
    </row>
    <row r="14" spans="1:35" ht="13.7" customHeight="1">
      <c r="A14" s="300"/>
      <c r="B14" s="1094" t="s">
        <v>3347</v>
      </c>
      <c r="C14" s="1094"/>
      <c r="D14" s="1094"/>
      <c r="E14" s="1094"/>
      <c r="F14" s="1094"/>
      <c r="G14" s="1094"/>
      <c r="H14" s="1095"/>
      <c r="I14" s="1104" t="s">
        <v>2947</v>
      </c>
      <c r="J14" s="1105"/>
      <c r="K14" s="1108" t="s">
        <v>3348</v>
      </c>
      <c r="L14" s="1108"/>
      <c r="M14" s="1108"/>
      <c r="N14" s="1108"/>
      <c r="O14" s="1108"/>
      <c r="P14" s="1108"/>
      <c r="Q14" s="1108"/>
      <c r="R14" s="1108"/>
      <c r="S14" s="1108"/>
      <c r="T14" s="1108"/>
      <c r="U14" s="1108"/>
      <c r="V14" s="1110" t="s">
        <v>2849</v>
      </c>
      <c r="W14" s="1110"/>
      <c r="X14" s="748"/>
      <c r="Y14" s="748"/>
      <c r="Z14" s="1098"/>
      <c r="AA14" s="1098"/>
      <c r="AB14" s="1098"/>
      <c r="AC14" s="1098"/>
      <c r="AD14" s="1098"/>
      <c r="AE14" s="1098"/>
      <c r="AF14" s="1098"/>
      <c r="AG14" s="1098"/>
      <c r="AH14" s="1098"/>
      <c r="AI14" s="1099"/>
    </row>
    <row r="15" spans="1:35" ht="13.7" customHeight="1">
      <c r="A15" s="301"/>
      <c r="B15" s="1096"/>
      <c r="C15" s="1096"/>
      <c r="D15" s="1096"/>
      <c r="E15" s="1096"/>
      <c r="F15" s="1096"/>
      <c r="G15" s="1096"/>
      <c r="H15" s="1097"/>
      <c r="I15" s="1106"/>
      <c r="J15" s="1107"/>
      <c r="K15" s="1109"/>
      <c r="L15" s="1109"/>
      <c r="M15" s="1109"/>
      <c r="N15" s="1109"/>
      <c r="O15" s="1109"/>
      <c r="P15" s="1109"/>
      <c r="Q15" s="1109"/>
      <c r="R15" s="1109"/>
      <c r="S15" s="1109"/>
      <c r="T15" s="1109"/>
      <c r="U15" s="1109"/>
      <c r="V15" s="1111"/>
      <c r="W15" s="1111"/>
      <c r="X15" s="193"/>
      <c r="Y15" s="193"/>
      <c r="Z15" s="1100"/>
      <c r="AA15" s="1100"/>
      <c r="AB15" s="1100"/>
      <c r="AC15" s="1100"/>
      <c r="AD15" s="1100"/>
      <c r="AE15" s="1100"/>
      <c r="AF15" s="1100"/>
      <c r="AG15" s="1100"/>
      <c r="AH15" s="1100"/>
      <c r="AI15" s="1101"/>
    </row>
    <row r="16" spans="1:35" ht="14.45" customHeight="1">
      <c r="A16" s="300"/>
      <c r="B16" s="799">
        <v>1</v>
      </c>
      <c r="C16" s="799" t="s">
        <v>3349</v>
      </c>
      <c r="D16" s="1113"/>
      <c r="E16" s="1113"/>
      <c r="F16" s="1113"/>
      <c r="G16" s="1113"/>
      <c r="H16" s="1114"/>
      <c r="I16" s="1118" t="str">
        <f>cst_wskakunin_BUILD__address</f>
        <v/>
      </c>
      <c r="J16" s="1119"/>
      <c r="K16" s="1119"/>
      <c r="L16" s="1119"/>
      <c r="M16" s="1119"/>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20"/>
    </row>
    <row r="17" spans="1:35" ht="14.45" customHeight="1">
      <c r="A17" s="299"/>
      <c r="B17" s="1103"/>
      <c r="C17" s="845"/>
      <c r="D17" s="845"/>
      <c r="E17" s="845"/>
      <c r="F17" s="845"/>
      <c r="G17" s="845"/>
      <c r="H17" s="1115"/>
      <c r="I17" s="1121"/>
      <c r="J17" s="1122"/>
      <c r="K17" s="1122"/>
      <c r="L17" s="1122"/>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3"/>
    </row>
    <row r="18" spans="1:35" ht="14.45" customHeight="1">
      <c r="A18" s="299"/>
      <c r="B18" s="1103"/>
      <c r="C18" s="845"/>
      <c r="D18" s="845"/>
      <c r="E18" s="845"/>
      <c r="F18" s="845"/>
      <c r="G18" s="845"/>
      <c r="H18" s="1115"/>
      <c r="I18" s="1121"/>
      <c r="J18" s="1122"/>
      <c r="K18" s="1122"/>
      <c r="L18" s="1122"/>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3"/>
    </row>
    <row r="19" spans="1:35" ht="14.45" customHeight="1">
      <c r="A19" s="301"/>
      <c r="B19" s="1092"/>
      <c r="C19" s="1116"/>
      <c r="D19" s="1116"/>
      <c r="E19" s="1116"/>
      <c r="F19" s="1116"/>
      <c r="G19" s="1116"/>
      <c r="H19" s="1117"/>
      <c r="I19" s="1124"/>
      <c r="J19" s="1125"/>
      <c r="K19" s="1125"/>
      <c r="L19" s="1125"/>
      <c r="M19" s="1125"/>
      <c r="N19" s="1125"/>
      <c r="O19" s="1125"/>
      <c r="P19" s="1125"/>
      <c r="Q19" s="1125"/>
      <c r="R19" s="1125"/>
      <c r="S19" s="1125"/>
      <c r="T19" s="1125"/>
      <c r="U19" s="1125"/>
      <c r="V19" s="1125"/>
      <c r="W19" s="1125"/>
      <c r="X19" s="1125"/>
      <c r="Y19" s="1125"/>
      <c r="Z19" s="1125"/>
      <c r="AA19" s="1125"/>
      <c r="AB19" s="1125"/>
      <c r="AC19" s="1125"/>
      <c r="AD19" s="1125"/>
      <c r="AE19" s="1125"/>
      <c r="AF19" s="1125"/>
      <c r="AG19" s="1125"/>
      <c r="AH19" s="1125"/>
      <c r="AI19" s="1126"/>
    </row>
    <row r="20" spans="1:35" ht="14.45" customHeight="1">
      <c r="A20" s="300"/>
      <c r="B20" s="799">
        <v>2</v>
      </c>
      <c r="C20" s="1127" t="s">
        <v>3350</v>
      </c>
      <c r="D20" s="1127"/>
      <c r="E20" s="1127"/>
      <c r="F20" s="1127"/>
      <c r="G20" s="1127"/>
      <c r="H20" s="1128"/>
      <c r="I20" s="300"/>
      <c r="J20" s="749" t="s">
        <v>2912</v>
      </c>
      <c r="K20" s="1133" t="str">
        <f>cst_wskakunin_sekkei1_SIKAKU</f>
        <v/>
      </c>
      <c r="L20" s="1133"/>
      <c r="M20" s="1133"/>
      <c r="N20" s="732" t="s">
        <v>3351</v>
      </c>
      <c r="O20" s="732"/>
      <c r="P20" s="732"/>
      <c r="Q20" s="749" t="s">
        <v>2912</v>
      </c>
      <c r="R20" s="1133" t="str">
        <f>cst_wskakunin_sekkei1_TOUROKU_KIKAN</f>
        <v/>
      </c>
      <c r="S20" s="1133"/>
      <c r="T20" s="1133"/>
      <c r="U20" s="1133"/>
      <c r="V20" s="1133"/>
      <c r="W20" s="799" t="s">
        <v>3352</v>
      </c>
      <c r="X20" s="799"/>
      <c r="Y20" s="799"/>
      <c r="Z20" s="1133" t="str">
        <f>cst_wskakunin_sekkei1_KENTIKUSI_NO</f>
        <v/>
      </c>
      <c r="AA20" s="1133"/>
      <c r="AB20" s="1133"/>
      <c r="AC20" s="1133"/>
      <c r="AD20" s="1133"/>
      <c r="AE20" s="1133"/>
      <c r="AF20" s="748" t="s">
        <v>2849</v>
      </c>
      <c r="AG20" s="748"/>
      <c r="AH20" s="748"/>
      <c r="AI20" s="750"/>
    </row>
    <row r="21" spans="1:35" ht="14.45" customHeight="1">
      <c r="A21" s="299"/>
      <c r="B21" s="1103"/>
      <c r="C21" s="1129"/>
      <c r="D21" s="1129"/>
      <c r="E21" s="1129"/>
      <c r="F21" s="1129"/>
      <c r="G21" s="1129"/>
      <c r="H21" s="1130"/>
      <c r="I21" s="1112" t="str">
        <f>cst_wskakunin_sekkei1_NAME</f>
        <v/>
      </c>
      <c r="J21" s="1090"/>
      <c r="K21" s="1090"/>
      <c r="L21" s="1090"/>
      <c r="M21" s="1090"/>
      <c r="N21" s="1090"/>
      <c r="O21" s="1090"/>
      <c r="P21" s="1090"/>
      <c r="Q21" s="1090"/>
      <c r="R21" s="1090"/>
      <c r="S21" s="1090"/>
      <c r="T21" s="1090"/>
      <c r="U21" s="1090"/>
      <c r="V21" s="1090"/>
      <c r="W21" s="1090"/>
      <c r="X21" s="1090"/>
      <c r="Y21" s="1090"/>
      <c r="Z21" s="1090"/>
      <c r="AA21" s="1090"/>
      <c r="AB21" s="1090"/>
      <c r="AC21" s="1090"/>
      <c r="AD21" s="1090"/>
      <c r="AE21" s="1090"/>
      <c r="AF21" s="1090"/>
      <c r="AG21" s="1090"/>
      <c r="AH21" s="1090"/>
      <c r="AI21" s="191"/>
    </row>
    <row r="22" spans="1:35" ht="14.45" customHeight="1">
      <c r="A22" s="299"/>
      <c r="B22" s="1103"/>
      <c r="C22" s="1129"/>
      <c r="D22" s="1129"/>
      <c r="E22" s="1129"/>
      <c r="F22" s="1129"/>
      <c r="G22" s="1129"/>
      <c r="H22" s="1130"/>
      <c r="I22" s="299"/>
      <c r="J22" s="279" t="s">
        <v>2912</v>
      </c>
      <c r="K22" s="1102" t="str">
        <f>cst_wskakunin_sekkei1_JIMU_SIKAKU</f>
        <v/>
      </c>
      <c r="L22" s="1102"/>
      <c r="M22" s="1102"/>
      <c r="N22" s="1103" t="s">
        <v>3353</v>
      </c>
      <c r="O22" s="1103"/>
      <c r="P22" s="1103"/>
      <c r="Q22" s="1103"/>
      <c r="R22" s="1103"/>
      <c r="S22" s="1102" t="str">
        <f>cst_wskakunin_sekkei1_JIMU_TOUROKU_KIKAN</f>
        <v/>
      </c>
      <c r="T22" s="1102"/>
      <c r="U22" s="1102"/>
      <c r="V22" s="1102"/>
      <c r="W22" s="1102"/>
      <c r="X22" s="1103" t="s">
        <v>2918</v>
      </c>
      <c r="Y22" s="1103"/>
      <c r="Z22" s="1103"/>
      <c r="AA22" s="1103"/>
      <c r="AB22" s="1102" t="str">
        <f>cst_wskakunin_sekkei1_JIMU_NO</f>
        <v/>
      </c>
      <c r="AC22" s="1102"/>
      <c r="AD22" s="1102"/>
      <c r="AE22" s="1102"/>
      <c r="AF22" s="1102"/>
      <c r="AG22" s="1102"/>
      <c r="AH22" s="16" t="s">
        <v>2849</v>
      </c>
      <c r="AI22" s="191"/>
    </row>
    <row r="23" spans="1:35" ht="14.45" customHeight="1">
      <c r="A23" s="299"/>
      <c r="B23" s="1103"/>
      <c r="C23" s="1129"/>
      <c r="D23" s="1129"/>
      <c r="E23" s="1129"/>
      <c r="F23" s="1129"/>
      <c r="G23" s="1129"/>
      <c r="H23" s="1130"/>
      <c r="I23" s="1112" t="str">
        <f>cst_wskakunin_sekkei1_JIMU_NAME</f>
        <v/>
      </c>
      <c r="J23" s="1090"/>
      <c r="K23" s="1090"/>
      <c r="L23" s="1090"/>
      <c r="M23" s="1090"/>
      <c r="N23" s="1090"/>
      <c r="O23" s="1090"/>
      <c r="P23" s="1090"/>
      <c r="Q23" s="1090"/>
      <c r="R23" s="1090"/>
      <c r="S23" s="1090"/>
      <c r="T23" s="1090"/>
      <c r="U23" s="1090"/>
      <c r="V23" s="1090"/>
      <c r="W23" s="1090"/>
      <c r="X23" s="1090"/>
      <c r="Y23" s="1090"/>
      <c r="Z23" s="1090"/>
      <c r="AA23" s="1090"/>
      <c r="AB23" s="1090"/>
      <c r="AC23" s="1090"/>
      <c r="AD23" s="1090"/>
      <c r="AE23" s="1090"/>
      <c r="AF23" s="1090"/>
      <c r="AG23" s="1090"/>
      <c r="AH23" s="1090"/>
      <c r="AI23" s="191"/>
    </row>
    <row r="24" spans="1:35" ht="14.45" customHeight="1">
      <c r="A24" s="299"/>
      <c r="B24" s="1103"/>
      <c r="C24" s="1129"/>
      <c r="D24" s="1129"/>
      <c r="E24" s="1129"/>
      <c r="F24" s="1129"/>
      <c r="G24" s="1129"/>
      <c r="H24" s="1130"/>
      <c r="I24" s="1112" t="str">
        <f>cst_wskakunin_sekkei1__address</f>
        <v/>
      </c>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91"/>
    </row>
    <row r="25" spans="1:35" ht="14.45" customHeight="1">
      <c r="A25" s="301"/>
      <c r="B25" s="1092"/>
      <c r="C25" s="1131"/>
      <c r="D25" s="1131"/>
      <c r="E25" s="1131"/>
      <c r="F25" s="1131"/>
      <c r="G25" s="1131"/>
      <c r="H25" s="1132"/>
      <c r="I25" s="1141" t="str">
        <f>cst_wskakunin_sekkei1_TEL</f>
        <v/>
      </c>
      <c r="J25" s="1142"/>
      <c r="K25" s="1142"/>
      <c r="L25" s="1142"/>
      <c r="M25" s="1142"/>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94"/>
    </row>
    <row r="26" spans="1:35" ht="15.75" customHeight="1">
      <c r="A26" s="300"/>
      <c r="B26" s="799">
        <v>3</v>
      </c>
      <c r="C26" s="1127" t="s">
        <v>3354</v>
      </c>
      <c r="D26" s="1127"/>
      <c r="E26" s="1127"/>
      <c r="F26" s="1127"/>
      <c r="G26" s="1127"/>
      <c r="H26" s="1128"/>
      <c r="I26" s="1136"/>
      <c r="J26" s="1137"/>
      <c r="K26" s="1137"/>
      <c r="L26" s="1137"/>
      <c r="M26" s="1137"/>
      <c r="N26" s="1137"/>
      <c r="O26" s="1137"/>
      <c r="P26" s="1137"/>
      <c r="Q26" s="1137"/>
      <c r="R26" s="1137"/>
      <c r="S26" s="1137"/>
      <c r="T26" s="1137"/>
      <c r="U26" s="1137"/>
      <c r="V26" s="1137"/>
      <c r="W26" s="1137"/>
      <c r="X26" s="1137"/>
      <c r="Y26" s="1137"/>
      <c r="Z26" s="1137"/>
      <c r="AA26" s="1137"/>
      <c r="AB26" s="1137"/>
      <c r="AC26" s="1137"/>
      <c r="AD26" s="1137"/>
      <c r="AE26" s="1137"/>
      <c r="AF26" s="1137"/>
      <c r="AG26" s="1137"/>
      <c r="AH26" s="1137"/>
      <c r="AI26" s="1138"/>
    </row>
    <row r="27" spans="1:35" ht="15.75" customHeight="1">
      <c r="A27" s="299"/>
      <c r="B27" s="1103"/>
      <c r="C27" s="1129"/>
      <c r="D27" s="1129"/>
      <c r="E27" s="1129"/>
      <c r="F27" s="1129"/>
      <c r="G27" s="1129"/>
      <c r="H27" s="1130"/>
      <c r="I27" s="1139"/>
      <c r="J27" s="1140"/>
      <c r="K27" s="1140"/>
      <c r="L27" s="1140"/>
      <c r="M27" s="1140"/>
      <c r="N27" s="1140"/>
      <c r="O27" s="1140"/>
      <c r="P27" s="1140"/>
      <c r="Q27" s="1140"/>
      <c r="R27" s="1140"/>
      <c r="S27" s="1140"/>
      <c r="U27" s="279" t="s">
        <v>3341</v>
      </c>
      <c r="V27" s="1140"/>
      <c r="W27" s="1140"/>
      <c r="X27" s="1140"/>
      <c r="Y27" s="1140"/>
      <c r="Z27" s="1140"/>
      <c r="AA27" s="1140"/>
      <c r="AB27" s="1140"/>
      <c r="AC27" s="1140"/>
      <c r="AD27" s="1140"/>
      <c r="AE27" s="1140"/>
      <c r="AF27" s="1140"/>
      <c r="AG27" s="1140"/>
      <c r="AH27" s="1140"/>
      <c r="AI27" s="191"/>
    </row>
    <row r="28" spans="1:35" ht="15.75" customHeight="1">
      <c r="A28" s="299"/>
      <c r="B28" s="1103"/>
      <c r="C28" s="1129"/>
      <c r="D28" s="1129"/>
      <c r="E28" s="1129"/>
      <c r="F28" s="1129"/>
      <c r="G28" s="1129"/>
      <c r="H28" s="1130"/>
      <c r="I28" s="299"/>
      <c r="L28" s="279" t="s">
        <v>3355</v>
      </c>
      <c r="M28" s="1102" t="s">
        <v>3356</v>
      </c>
      <c r="N28" s="1102"/>
      <c r="O28" s="302" t="s">
        <v>3357</v>
      </c>
      <c r="P28" s="1088"/>
      <c r="Q28" s="1088"/>
      <c r="R28" s="1088"/>
      <c r="S28" s="16" t="s">
        <v>2913</v>
      </c>
      <c r="T28" s="249" t="s">
        <v>2947</v>
      </c>
      <c r="U28" s="1088"/>
      <c r="V28" s="1088"/>
      <c r="W28" s="1088"/>
      <c r="X28" s="1088"/>
      <c r="Y28" s="1088"/>
      <c r="Z28" s="1088"/>
      <c r="AA28" s="1088"/>
      <c r="AB28" s="249" t="s">
        <v>2849</v>
      </c>
      <c r="AI28" s="191"/>
    </row>
    <row r="29" spans="1:35" ht="15.75" customHeight="1">
      <c r="A29" s="301"/>
      <c r="B29" s="1092"/>
      <c r="C29" s="1131"/>
      <c r="D29" s="1131"/>
      <c r="E29" s="1131"/>
      <c r="F29" s="1131"/>
      <c r="G29" s="1131"/>
      <c r="H29" s="1132"/>
      <c r="I29" s="301"/>
      <c r="J29" s="193"/>
      <c r="K29" s="193"/>
      <c r="L29" s="193"/>
      <c r="M29" s="193"/>
      <c r="N29" s="193"/>
      <c r="O29" s="193"/>
      <c r="P29" s="193"/>
      <c r="Q29" s="193"/>
      <c r="R29" s="193"/>
      <c r="S29" s="193"/>
      <c r="T29" s="193"/>
      <c r="U29" s="193"/>
      <c r="V29" s="193"/>
      <c r="W29" s="193"/>
      <c r="X29" s="278" t="s">
        <v>3358</v>
      </c>
      <c r="Y29" s="1134" t="s">
        <v>3359</v>
      </c>
      <c r="Z29" s="1134"/>
      <c r="AA29" s="1134"/>
      <c r="AB29" s="1134"/>
      <c r="AC29" s="1134"/>
      <c r="AD29" s="1134"/>
      <c r="AE29" s="1134"/>
      <c r="AF29" s="1134"/>
      <c r="AG29" s="1134"/>
      <c r="AH29" s="1134"/>
      <c r="AI29" s="1135"/>
    </row>
    <row r="30" spans="1:35" ht="14.45" customHeight="1">
      <c r="A30" s="300"/>
      <c r="B30" s="799">
        <v>4</v>
      </c>
      <c r="C30" s="1127" t="s">
        <v>3360</v>
      </c>
      <c r="D30" s="1127"/>
      <c r="E30" s="1127"/>
      <c r="F30" s="1127"/>
      <c r="G30" s="1127"/>
      <c r="H30" s="1128"/>
      <c r="I30" s="1136"/>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7"/>
      <c r="AF30" s="1137"/>
      <c r="AG30" s="1137"/>
      <c r="AH30" s="1137"/>
      <c r="AI30" s="1138"/>
    </row>
    <row r="31" spans="1:35" ht="14.45" customHeight="1">
      <c r="A31" s="299"/>
      <c r="B31" s="1103"/>
      <c r="C31" s="1129"/>
      <c r="D31" s="1129"/>
      <c r="E31" s="1129"/>
      <c r="F31" s="1129"/>
      <c r="G31" s="1129"/>
      <c r="H31" s="1130"/>
      <c r="I31" s="1139"/>
      <c r="J31" s="1140"/>
      <c r="K31" s="1140"/>
      <c r="L31" s="1140"/>
      <c r="M31" s="1140"/>
      <c r="N31" s="1140"/>
      <c r="O31" s="1140"/>
      <c r="P31" s="1140"/>
      <c r="Q31" s="1140"/>
      <c r="R31" s="1140"/>
      <c r="S31" s="1140"/>
      <c r="T31" s="303"/>
      <c r="U31" s="304" t="s">
        <v>3341</v>
      </c>
      <c r="V31" s="1140"/>
      <c r="W31" s="1140"/>
      <c r="X31" s="1140"/>
      <c r="Y31" s="1140"/>
      <c r="Z31" s="1140"/>
      <c r="AA31" s="1140"/>
      <c r="AB31" s="1140"/>
      <c r="AC31" s="1140"/>
      <c r="AD31" s="1140"/>
      <c r="AE31" s="1140"/>
      <c r="AF31" s="1140"/>
      <c r="AG31" s="1140"/>
      <c r="AH31" s="1140"/>
      <c r="AI31" s="305"/>
    </row>
    <row r="32" spans="1:35" ht="14.45" customHeight="1">
      <c r="A32" s="301"/>
      <c r="B32" s="1092"/>
      <c r="C32" s="1131"/>
      <c r="D32" s="1131"/>
      <c r="E32" s="1131"/>
      <c r="F32" s="1131"/>
      <c r="G32" s="1131"/>
      <c r="H32" s="1132"/>
      <c r="I32" s="306" t="s">
        <v>2947</v>
      </c>
      <c r="J32" s="1134"/>
      <c r="K32" s="1134"/>
      <c r="L32" s="1134"/>
      <c r="M32" s="1134"/>
      <c r="N32" s="1134"/>
      <c r="O32" s="1134"/>
      <c r="P32" s="1134"/>
      <c r="Q32" s="193" t="s">
        <v>2849</v>
      </c>
      <c r="R32" s="193"/>
      <c r="S32" s="193"/>
      <c r="T32" s="307"/>
      <c r="U32" s="193"/>
      <c r="V32" s="193"/>
      <c r="W32" s="193"/>
      <c r="X32" s="278" t="s">
        <v>3361</v>
      </c>
      <c r="Y32" s="1134" t="s">
        <v>3359</v>
      </c>
      <c r="Z32" s="1134"/>
      <c r="AA32" s="1134"/>
      <c r="AB32" s="1134"/>
      <c r="AC32" s="1134"/>
      <c r="AD32" s="1134"/>
      <c r="AE32" s="1134"/>
      <c r="AF32" s="1134"/>
      <c r="AG32" s="1134"/>
      <c r="AH32" s="1134"/>
      <c r="AI32" s="1135"/>
    </row>
    <row r="33" spans="1:35" ht="15.95" customHeight="1">
      <c r="A33" s="300"/>
      <c r="B33" s="799">
        <v>5</v>
      </c>
      <c r="C33" s="1127" t="s">
        <v>3362</v>
      </c>
      <c r="D33" s="799"/>
      <c r="E33" s="799"/>
      <c r="F33" s="799"/>
      <c r="G33" s="799"/>
      <c r="H33" s="1087"/>
      <c r="I33" s="748" t="s">
        <v>3363</v>
      </c>
      <c r="J33" s="748"/>
      <c r="K33" s="1137"/>
      <c r="L33" s="1137"/>
      <c r="M33" s="1137"/>
      <c r="N33" s="1137"/>
      <c r="O33" s="1137"/>
      <c r="P33" s="1137"/>
      <c r="Q33" s="1137"/>
      <c r="R33" s="748" t="s">
        <v>3364</v>
      </c>
      <c r="S33" s="748"/>
      <c r="T33" s="748"/>
      <c r="U33" s="748"/>
      <c r="V33" s="748"/>
      <c r="W33" s="748"/>
      <c r="X33" s="748"/>
      <c r="Y33" s="1149"/>
      <c r="Z33" s="1149"/>
      <c r="AA33" s="1149"/>
      <c r="AB33" s="1149"/>
      <c r="AC33" s="1149"/>
      <c r="AD33" s="1149"/>
      <c r="AE33" s="748" t="s">
        <v>3365</v>
      </c>
      <c r="AF33" s="748"/>
      <c r="AG33" s="748"/>
      <c r="AH33" s="748"/>
      <c r="AI33" s="750"/>
    </row>
    <row r="34" spans="1:35" ht="15.95" customHeight="1">
      <c r="A34" s="301"/>
      <c r="B34" s="1092"/>
      <c r="C34" s="1092"/>
      <c r="D34" s="1092"/>
      <c r="E34" s="1092"/>
      <c r="F34" s="1092"/>
      <c r="G34" s="1092"/>
      <c r="H34" s="1093"/>
      <c r="I34" s="193"/>
      <c r="J34" s="193"/>
      <c r="K34" s="1148"/>
      <c r="L34" s="1148"/>
      <c r="M34" s="1148"/>
      <c r="N34" s="1148"/>
      <c r="O34" s="1148"/>
      <c r="P34" s="1148"/>
      <c r="Q34" s="1148"/>
      <c r="R34" s="193"/>
      <c r="S34" s="193"/>
      <c r="T34" s="193"/>
      <c r="U34" s="193"/>
      <c r="V34" s="193"/>
      <c r="W34" s="193"/>
      <c r="X34" s="193"/>
      <c r="Y34" s="1134"/>
      <c r="Z34" s="1134"/>
      <c r="AA34" s="1134"/>
      <c r="AB34" s="1134"/>
      <c r="AC34" s="1134"/>
      <c r="AD34" s="1134"/>
      <c r="AE34" s="193" t="s">
        <v>3164</v>
      </c>
      <c r="AF34" s="193"/>
      <c r="AG34" s="193"/>
      <c r="AH34" s="193"/>
      <c r="AI34" s="194"/>
    </row>
    <row r="35" spans="1:35" ht="19.5" customHeight="1">
      <c r="A35" s="301"/>
      <c r="B35" s="274">
        <v>6</v>
      </c>
      <c r="C35" s="1092" t="s">
        <v>3366</v>
      </c>
      <c r="D35" s="1092"/>
      <c r="E35" s="1092"/>
      <c r="F35" s="1092"/>
      <c r="G35" s="1092"/>
      <c r="H35" s="1093"/>
      <c r="I35" s="1146"/>
      <c r="J35" s="1147"/>
      <c r="K35" s="1147"/>
      <c r="L35" s="1147"/>
      <c r="M35" s="1147"/>
      <c r="N35" s="1147"/>
      <c r="O35" s="1147"/>
      <c r="P35" s="1147"/>
      <c r="Q35" s="1147"/>
      <c r="R35" s="1147"/>
      <c r="S35" s="1147"/>
      <c r="T35" s="1147"/>
      <c r="U35" s="1147"/>
      <c r="V35" s="1147"/>
      <c r="W35" s="1147"/>
      <c r="X35" s="1147"/>
      <c r="Y35" s="1147"/>
      <c r="Z35" s="1147"/>
      <c r="AA35" s="1147"/>
      <c r="AB35" s="1147"/>
      <c r="AC35" s="1147"/>
      <c r="AD35" s="1147"/>
      <c r="AE35" s="1147"/>
      <c r="AF35" s="1147"/>
      <c r="AG35" s="1147"/>
      <c r="AH35" s="1147"/>
      <c r="AI35" s="1150"/>
    </row>
    <row r="36" spans="1:35" ht="15" customHeight="1">
      <c r="A36" s="300"/>
      <c r="B36" s="799">
        <v>7</v>
      </c>
      <c r="C36" s="799" t="s">
        <v>3367</v>
      </c>
      <c r="D36" s="799"/>
      <c r="E36" s="799"/>
      <c r="F36" s="799"/>
      <c r="G36" s="799"/>
      <c r="H36" s="1087"/>
      <c r="I36" s="308" t="s">
        <v>2832</v>
      </c>
      <c r="J36" s="16" t="s">
        <v>3368</v>
      </c>
      <c r="AI36" s="191"/>
    </row>
    <row r="37" spans="1:35" ht="15" customHeight="1">
      <c r="A37" s="299"/>
      <c r="B37" s="1103"/>
      <c r="C37" s="1103"/>
      <c r="D37" s="1103"/>
      <c r="E37" s="1103"/>
      <c r="F37" s="1103"/>
      <c r="G37" s="1103"/>
      <c r="H37" s="1143"/>
      <c r="I37" s="308" t="s">
        <v>2832</v>
      </c>
      <c r="J37" s="16" t="s">
        <v>3369</v>
      </c>
      <c r="AI37" s="191"/>
    </row>
    <row r="38" spans="1:35" ht="15" customHeight="1">
      <c r="A38" s="301"/>
      <c r="B38" s="1092"/>
      <c r="C38" s="1092"/>
      <c r="D38" s="1092"/>
      <c r="E38" s="1092"/>
      <c r="F38" s="1092"/>
      <c r="G38" s="1092"/>
      <c r="H38" s="1093"/>
      <c r="I38" s="301"/>
      <c r="J38" s="193" t="s">
        <v>3370</v>
      </c>
      <c r="K38" s="193"/>
      <c r="L38" s="193"/>
      <c r="M38" s="1134"/>
      <c r="N38" s="1134"/>
      <c r="O38" s="1134"/>
      <c r="P38" s="1134"/>
      <c r="Q38" s="1134"/>
      <c r="R38" s="1134"/>
      <c r="S38" s="1134"/>
      <c r="T38" s="1134"/>
      <c r="U38" s="1134"/>
      <c r="V38" s="193"/>
      <c r="W38" s="193"/>
      <c r="X38" s="278" t="s">
        <v>3371</v>
      </c>
      <c r="Y38" s="1134" t="s">
        <v>3359</v>
      </c>
      <c r="Z38" s="1134"/>
      <c r="AA38" s="1134"/>
      <c r="AB38" s="1134"/>
      <c r="AC38" s="1134"/>
      <c r="AD38" s="1134"/>
      <c r="AE38" s="1134"/>
      <c r="AF38" s="1134"/>
      <c r="AG38" s="1134"/>
      <c r="AH38" s="1134"/>
      <c r="AI38" s="1135"/>
    </row>
    <row r="39" spans="1:35" ht="15.6" customHeight="1">
      <c r="A39" s="301"/>
      <c r="B39" s="274">
        <v>8</v>
      </c>
      <c r="C39" s="1144" t="s">
        <v>3372</v>
      </c>
      <c r="D39" s="1144"/>
      <c r="E39" s="1144"/>
      <c r="F39" s="1144"/>
      <c r="G39" s="1144"/>
      <c r="H39" s="1145"/>
      <c r="I39" s="1146"/>
      <c r="J39" s="1147"/>
      <c r="K39" s="1147"/>
      <c r="L39" s="1147"/>
      <c r="M39" s="1147"/>
      <c r="N39" s="1147"/>
      <c r="O39" s="1147"/>
      <c r="P39" s="1147"/>
      <c r="Q39" s="1147"/>
      <c r="R39" s="1147"/>
      <c r="S39" s="1147"/>
      <c r="T39" s="1147"/>
      <c r="U39" s="1147"/>
      <c r="V39" s="1147"/>
      <c r="W39" s="1147"/>
      <c r="X39" s="1147"/>
      <c r="Y39" s="1147"/>
      <c r="Z39" s="1147"/>
      <c r="AA39" s="1147"/>
      <c r="AB39" s="1147"/>
      <c r="AC39" s="1147"/>
      <c r="AD39" s="1147"/>
      <c r="AE39" s="1147"/>
      <c r="AF39" s="1147"/>
      <c r="AG39" s="309"/>
      <c r="AH39" s="309"/>
      <c r="AI39" s="310" t="s">
        <v>3373</v>
      </c>
    </row>
    <row r="40" spans="1:35" ht="15" customHeight="1">
      <c r="A40" s="300"/>
      <c r="B40" s="799">
        <v>9</v>
      </c>
      <c r="C40" s="799" t="s">
        <v>3374</v>
      </c>
      <c r="D40" s="799"/>
      <c r="E40" s="799"/>
      <c r="F40" s="799"/>
      <c r="G40" s="799"/>
      <c r="H40" s="1087"/>
      <c r="I40" s="1157"/>
      <c r="J40" s="1158"/>
      <c r="K40" s="1158"/>
      <c r="L40" s="1158"/>
      <c r="M40" s="1158"/>
      <c r="N40" s="1158"/>
      <c r="O40" s="1158"/>
      <c r="P40" s="1158"/>
      <c r="Q40" s="1158"/>
      <c r="R40" s="1158"/>
      <c r="S40" s="1158"/>
      <c r="U40" s="279" t="s">
        <v>3375</v>
      </c>
      <c r="V40" s="1086" t="s">
        <v>3376</v>
      </c>
      <c r="W40" s="799"/>
      <c r="X40" s="799"/>
      <c r="Y40" s="799"/>
      <c r="Z40" s="799"/>
      <c r="AA40" s="1087"/>
      <c r="AB40" s="16" t="s">
        <v>3377</v>
      </c>
      <c r="AE40" s="1149"/>
      <c r="AF40" s="1149"/>
      <c r="AG40" s="1149"/>
      <c r="AH40" s="1149"/>
      <c r="AI40" s="1159"/>
    </row>
    <row r="41" spans="1:35" ht="15" customHeight="1">
      <c r="A41" s="301"/>
      <c r="B41" s="1092"/>
      <c r="C41" s="1092"/>
      <c r="D41" s="1092"/>
      <c r="E41" s="1092"/>
      <c r="F41" s="1092"/>
      <c r="G41" s="1092"/>
      <c r="H41" s="1093"/>
      <c r="I41" s="301" t="s">
        <v>3378</v>
      </c>
      <c r="J41" s="193"/>
      <c r="K41" s="193"/>
      <c r="L41" s="193"/>
      <c r="M41" s="1134"/>
      <c r="N41" s="1134"/>
      <c r="O41" s="1134"/>
      <c r="P41" s="1134"/>
      <c r="Q41" s="1134"/>
      <c r="R41" s="193"/>
      <c r="S41" s="193"/>
      <c r="U41" s="278" t="s">
        <v>3379</v>
      </c>
      <c r="V41" s="1091"/>
      <c r="W41" s="1092"/>
      <c r="X41" s="1092"/>
      <c r="Y41" s="1092"/>
      <c r="Z41" s="1092"/>
      <c r="AA41" s="1093"/>
      <c r="AB41" s="1160"/>
      <c r="AC41" s="1160"/>
      <c r="AD41" s="1160"/>
      <c r="AE41" s="193"/>
      <c r="AF41" s="193"/>
      <c r="AG41" s="193"/>
      <c r="AH41" s="193"/>
      <c r="AI41" s="311" t="s">
        <v>3380</v>
      </c>
    </row>
    <row r="42" spans="1:35" ht="14.45" customHeight="1">
      <c r="A42" s="300"/>
      <c r="B42" s="799">
        <v>11</v>
      </c>
      <c r="C42" s="1127" t="s">
        <v>3381</v>
      </c>
      <c r="D42" s="1127"/>
      <c r="E42" s="1127"/>
      <c r="F42" s="1127"/>
      <c r="G42" s="1127"/>
      <c r="H42" s="1128"/>
      <c r="I42" s="1151"/>
      <c r="J42" s="1152"/>
      <c r="K42" s="1152"/>
      <c r="L42" s="1152"/>
      <c r="M42" s="1152"/>
      <c r="N42" s="1152"/>
      <c r="O42" s="1152"/>
      <c r="P42" s="1152"/>
      <c r="Q42" s="1152"/>
      <c r="R42" s="1152"/>
      <c r="S42" s="1152"/>
      <c r="T42" s="1152"/>
      <c r="U42" s="1152"/>
      <c r="V42" s="1152"/>
      <c r="W42" s="1152"/>
      <c r="X42" s="1152"/>
      <c r="Y42" s="1152"/>
      <c r="Z42" s="1152"/>
      <c r="AA42" s="1152"/>
      <c r="AB42" s="1152"/>
      <c r="AC42" s="1152"/>
      <c r="AD42" s="1152"/>
      <c r="AE42" s="1152"/>
      <c r="AF42" s="1152"/>
      <c r="AG42" s="1152"/>
      <c r="AH42" s="1152"/>
      <c r="AI42" s="1153"/>
    </row>
    <row r="43" spans="1:35" ht="14.25" customHeight="1">
      <c r="A43" s="299"/>
      <c r="B43" s="1103"/>
      <c r="C43" s="1129"/>
      <c r="D43" s="1129"/>
      <c r="E43" s="1129"/>
      <c r="F43" s="1129"/>
      <c r="G43" s="1129"/>
      <c r="H43" s="1130"/>
      <c r="I43" s="1154"/>
      <c r="J43" s="1155"/>
      <c r="K43" s="1155"/>
      <c r="L43" s="1155"/>
      <c r="M43" s="1155"/>
      <c r="N43" s="1155"/>
      <c r="O43" s="1155"/>
      <c r="P43" s="1155"/>
      <c r="Q43" s="1155"/>
      <c r="R43" s="1155"/>
      <c r="S43" s="1155"/>
      <c r="T43" s="1155"/>
      <c r="U43" s="1155"/>
      <c r="V43" s="1155"/>
      <c r="W43" s="1155"/>
      <c r="X43" s="1155"/>
      <c r="Y43" s="1155"/>
      <c r="Z43" s="1155"/>
      <c r="AA43" s="1155"/>
      <c r="AB43" s="1155"/>
      <c r="AC43" s="1155"/>
      <c r="AD43" s="1155"/>
      <c r="AE43" s="1155"/>
      <c r="AF43" s="1155"/>
      <c r="AG43" s="1155"/>
      <c r="AH43" s="1155"/>
      <c r="AI43" s="1156"/>
    </row>
    <row r="44" spans="1:35" ht="14.45" customHeight="1">
      <c r="A44" s="301"/>
      <c r="B44" s="1092"/>
      <c r="C44" s="1131"/>
      <c r="D44" s="1131"/>
      <c r="E44" s="1131"/>
      <c r="F44" s="1131"/>
      <c r="G44" s="1131"/>
      <c r="H44" s="1132"/>
      <c r="I44" s="301"/>
      <c r="J44" s="193"/>
      <c r="K44" s="193"/>
      <c r="L44" s="193"/>
      <c r="M44" s="193"/>
      <c r="N44" s="193"/>
      <c r="O44" s="193"/>
      <c r="P44" s="193"/>
      <c r="Q44" s="193"/>
      <c r="R44" s="193"/>
      <c r="S44" s="193"/>
      <c r="T44" s="193"/>
      <c r="U44" s="193"/>
      <c r="V44" s="193"/>
      <c r="W44" s="193"/>
      <c r="X44" s="193" t="s">
        <v>3382</v>
      </c>
      <c r="Y44" s="193"/>
      <c r="Z44" s="193"/>
      <c r="AA44" s="193"/>
      <c r="AB44" s="193"/>
      <c r="AC44" s="1134"/>
      <c r="AD44" s="1134"/>
      <c r="AE44" s="1134"/>
      <c r="AF44" s="1134"/>
      <c r="AG44" s="1134"/>
      <c r="AH44" s="260" t="s">
        <v>3383</v>
      </c>
      <c r="AI44" s="194"/>
    </row>
    <row r="45" spans="1:35" ht="14.45" customHeight="1">
      <c r="A45" s="300"/>
      <c r="B45" s="799">
        <v>12</v>
      </c>
      <c r="C45" s="799" t="s">
        <v>3384</v>
      </c>
      <c r="D45" s="799"/>
      <c r="E45" s="799"/>
      <c r="F45" s="799"/>
      <c r="G45" s="799"/>
      <c r="H45" s="1087"/>
      <c r="I45" s="308" t="s">
        <v>2832</v>
      </c>
      <c r="J45" s="748" t="s">
        <v>3385</v>
      </c>
      <c r="K45" s="748"/>
      <c r="L45" s="748"/>
      <c r="M45" s="748"/>
      <c r="N45" s="748"/>
      <c r="O45" s="748"/>
      <c r="P45" s="748"/>
      <c r="Q45" s="748"/>
      <c r="R45" s="748"/>
      <c r="S45" s="748"/>
      <c r="T45" s="748"/>
      <c r="V45" s="1086" t="s">
        <v>3386</v>
      </c>
      <c r="W45" s="799"/>
      <c r="X45" s="799"/>
      <c r="Y45" s="799"/>
      <c r="Z45" s="799"/>
      <c r="AA45" s="1087"/>
      <c r="AB45" s="308" t="s">
        <v>2832</v>
      </c>
      <c r="AC45" s="748" t="s">
        <v>3387</v>
      </c>
      <c r="AD45" s="748"/>
      <c r="AE45" s="748"/>
      <c r="AF45" s="748"/>
      <c r="AG45" s="748"/>
      <c r="AH45" s="748"/>
      <c r="AI45" s="750"/>
    </row>
    <row r="46" spans="1:35" ht="14.45" customHeight="1">
      <c r="A46" s="301"/>
      <c r="B46" s="1092"/>
      <c r="C46" s="1092"/>
      <c r="D46" s="1092"/>
      <c r="E46" s="1092"/>
      <c r="F46" s="1092"/>
      <c r="G46" s="1092"/>
      <c r="H46" s="1093"/>
      <c r="I46" s="308" t="s">
        <v>2832</v>
      </c>
      <c r="J46" s="193" t="s">
        <v>1684</v>
      </c>
      <c r="K46" s="193"/>
      <c r="L46" s="278" t="s">
        <v>2912</v>
      </c>
      <c r="M46" s="1148"/>
      <c r="N46" s="1148"/>
      <c r="O46" s="1148"/>
      <c r="P46" s="1148"/>
      <c r="Q46" s="1148"/>
      <c r="R46" s="1148"/>
      <c r="S46" s="1148"/>
      <c r="T46" s="1148"/>
      <c r="U46" s="193" t="s">
        <v>2913</v>
      </c>
      <c r="V46" s="1091"/>
      <c r="W46" s="1092"/>
      <c r="X46" s="1092"/>
      <c r="Y46" s="1092"/>
      <c r="Z46" s="1092"/>
      <c r="AA46" s="1093"/>
      <c r="AB46" s="308" t="s">
        <v>2832</v>
      </c>
      <c r="AC46" s="193" t="s">
        <v>3388</v>
      </c>
      <c r="AD46" s="193"/>
      <c r="AE46" s="193"/>
      <c r="AF46" s="193"/>
      <c r="AG46" s="193"/>
      <c r="AH46" s="193"/>
      <c r="AI46" s="194"/>
    </row>
    <row r="47" spans="1:35" ht="15" customHeight="1">
      <c r="A47" s="299"/>
      <c r="B47" s="1103">
        <v>14</v>
      </c>
      <c r="C47" s="1129" t="s">
        <v>3389</v>
      </c>
      <c r="D47" s="1129"/>
      <c r="E47" s="1129"/>
      <c r="F47" s="1129"/>
      <c r="G47" s="1129"/>
      <c r="H47" s="1130"/>
      <c r="I47" s="312" t="s">
        <v>2832</v>
      </c>
      <c r="J47" s="748" t="s">
        <v>3390</v>
      </c>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50"/>
    </row>
    <row r="48" spans="1:35" ht="15" customHeight="1">
      <c r="A48" s="299"/>
      <c r="B48" s="1103"/>
      <c r="C48" s="1129"/>
      <c r="D48" s="1129"/>
      <c r="E48" s="1129"/>
      <c r="F48" s="1129"/>
      <c r="G48" s="1129"/>
      <c r="H48" s="1130"/>
      <c r="I48" s="308" t="s">
        <v>2832</v>
      </c>
      <c r="J48" s="16" t="s">
        <v>3391</v>
      </c>
      <c r="AI48" s="191"/>
    </row>
    <row r="49" spans="1:35" ht="15" customHeight="1">
      <c r="A49" s="299"/>
      <c r="B49" s="1103"/>
      <c r="C49" s="1129"/>
      <c r="D49" s="1129"/>
      <c r="E49" s="1129"/>
      <c r="F49" s="1129"/>
      <c r="G49" s="1129"/>
      <c r="H49" s="1130"/>
      <c r="I49" s="301"/>
      <c r="J49" s="193" t="s">
        <v>3392</v>
      </c>
      <c r="K49" s="193"/>
      <c r="L49" s="193"/>
      <c r="M49" s="193"/>
      <c r="N49" s="193"/>
      <c r="O49" s="193"/>
      <c r="P49" s="1134"/>
      <c r="Q49" s="1134"/>
      <c r="R49" s="1134"/>
      <c r="S49" s="1134"/>
      <c r="T49" s="1134"/>
      <c r="U49" s="1134"/>
      <c r="V49" s="1134"/>
      <c r="W49" s="1134"/>
      <c r="X49" s="193"/>
      <c r="Y49" s="193"/>
      <c r="Z49" s="193"/>
      <c r="AB49" s="278" t="s">
        <v>3393</v>
      </c>
      <c r="AC49" s="1134" t="s">
        <v>3394</v>
      </c>
      <c r="AD49" s="1134"/>
      <c r="AE49" s="1134"/>
      <c r="AF49" s="1134"/>
      <c r="AG49" s="1134"/>
      <c r="AH49" s="1134"/>
      <c r="AI49" s="1135"/>
    </row>
    <row r="50" spans="1:35" ht="27" customHeight="1">
      <c r="A50" s="313"/>
      <c r="B50" s="309">
        <v>15</v>
      </c>
      <c r="C50" s="1163" t="s">
        <v>3395</v>
      </c>
      <c r="D50" s="1163"/>
      <c r="E50" s="1163"/>
      <c r="F50" s="1163"/>
      <c r="G50" s="1163"/>
      <c r="H50" s="1164"/>
      <c r="I50" s="193" t="s">
        <v>3396</v>
      </c>
      <c r="J50" s="193"/>
      <c r="K50" s="193"/>
      <c r="L50" s="1147"/>
      <c r="M50" s="1147"/>
      <c r="N50" s="1147"/>
      <c r="O50" s="1147"/>
      <c r="P50" s="1147"/>
      <c r="Q50" s="1147"/>
      <c r="R50" s="1147"/>
      <c r="S50" s="1147"/>
      <c r="T50" s="1147"/>
      <c r="U50" s="1147"/>
      <c r="V50" s="1147"/>
      <c r="W50" s="1147"/>
      <c r="X50" s="1147"/>
      <c r="Y50" s="1147"/>
      <c r="Z50" s="1165" t="s">
        <v>3371</v>
      </c>
      <c r="AA50" s="1144"/>
      <c r="AB50" s="1144"/>
      <c r="AC50" s="1166" t="s">
        <v>3394</v>
      </c>
      <c r="AD50" s="1166"/>
      <c r="AE50" s="1166"/>
      <c r="AF50" s="1166"/>
      <c r="AG50" s="1166"/>
      <c r="AH50" s="1166"/>
      <c r="AI50" s="1167"/>
    </row>
    <row r="51" spans="1:35" ht="12.95" customHeight="1">
      <c r="B51" s="16" t="s">
        <v>2</v>
      </c>
    </row>
    <row r="52" spans="1:35" ht="12.95" customHeight="1">
      <c r="A52" s="192"/>
      <c r="B52" s="314">
        <v>1</v>
      </c>
      <c r="C52" s="192"/>
      <c r="D52" s="192" t="s">
        <v>3397</v>
      </c>
      <c r="E52" s="192"/>
    </row>
    <row r="53" spans="1:35" ht="12.75" customHeight="1">
      <c r="A53" s="192"/>
      <c r="B53" s="314">
        <v>2</v>
      </c>
      <c r="C53" s="192"/>
      <c r="D53" s="1162" t="s">
        <v>3398</v>
      </c>
      <c r="E53" s="1162"/>
      <c r="F53" s="1162"/>
      <c r="G53" s="1162"/>
      <c r="H53" s="1162"/>
      <c r="I53" s="1162"/>
      <c r="J53" s="1162"/>
      <c r="K53" s="1162"/>
      <c r="L53" s="1162"/>
      <c r="M53" s="1162"/>
      <c r="N53" s="1162"/>
      <c r="O53" s="1162"/>
      <c r="P53" s="1162"/>
      <c r="Q53" s="1162"/>
      <c r="R53" s="1162"/>
      <c r="S53" s="1162"/>
      <c r="T53" s="1162"/>
      <c r="U53" s="1162"/>
      <c r="V53" s="1162"/>
      <c r="W53" s="1162"/>
      <c r="X53" s="1162"/>
      <c r="Y53" s="1162"/>
      <c r="Z53" s="1162"/>
      <c r="AA53" s="1162"/>
      <c r="AB53" s="1162"/>
      <c r="AC53" s="1162"/>
      <c r="AD53" s="1162"/>
      <c r="AE53" s="1162"/>
      <c r="AF53" s="1162"/>
      <c r="AG53" s="1162"/>
      <c r="AH53" s="1162"/>
      <c r="AI53" s="1162"/>
    </row>
    <row r="54" spans="1:35" ht="12.95" customHeight="1">
      <c r="A54" s="192"/>
      <c r="B54" s="314"/>
      <c r="C54" s="192"/>
      <c r="D54" s="1162"/>
      <c r="E54" s="1162"/>
      <c r="F54" s="1162"/>
      <c r="G54" s="1162"/>
      <c r="H54" s="1162"/>
      <c r="I54" s="1162"/>
      <c r="J54" s="1162"/>
      <c r="K54" s="1162"/>
      <c r="L54" s="1162"/>
      <c r="M54" s="1162"/>
      <c r="N54" s="1162"/>
      <c r="O54" s="1162"/>
      <c r="P54" s="1162"/>
      <c r="Q54" s="1162"/>
      <c r="R54" s="1162"/>
      <c r="S54" s="1162"/>
      <c r="T54" s="1162"/>
      <c r="U54" s="1162"/>
      <c r="V54" s="1162"/>
      <c r="W54" s="1162"/>
      <c r="X54" s="1162"/>
      <c r="Y54" s="1162"/>
      <c r="Z54" s="1162"/>
      <c r="AA54" s="1162"/>
      <c r="AB54" s="1162"/>
      <c r="AC54" s="1162"/>
      <c r="AD54" s="1162"/>
      <c r="AE54" s="1162"/>
      <c r="AF54" s="1162"/>
      <c r="AG54" s="1162"/>
      <c r="AH54" s="1162"/>
      <c r="AI54" s="1162"/>
    </row>
    <row r="55" spans="1:35" ht="12.95" customHeight="1">
      <c r="A55" s="192"/>
      <c r="B55" s="314">
        <v>3</v>
      </c>
      <c r="C55" s="192"/>
      <c r="D55" s="1162" t="s">
        <v>3399</v>
      </c>
      <c r="E55" s="1162"/>
      <c r="F55" s="1162"/>
      <c r="G55" s="1162"/>
      <c r="H55" s="1162"/>
      <c r="I55" s="1162"/>
      <c r="J55" s="1162"/>
      <c r="K55" s="1162"/>
      <c r="L55" s="1162"/>
      <c r="M55" s="1162"/>
      <c r="N55" s="1162"/>
      <c r="O55" s="1162"/>
      <c r="P55" s="1162"/>
      <c r="Q55" s="1162"/>
      <c r="R55" s="1162"/>
      <c r="S55" s="1162"/>
      <c r="T55" s="1162"/>
      <c r="U55" s="1162"/>
      <c r="V55" s="1162"/>
      <c r="W55" s="1162"/>
      <c r="X55" s="1162"/>
      <c r="Y55" s="1162"/>
      <c r="Z55" s="1162"/>
      <c r="AA55" s="1162"/>
      <c r="AB55" s="1162"/>
      <c r="AC55" s="1162"/>
      <c r="AD55" s="1162"/>
      <c r="AE55" s="1162"/>
      <c r="AF55" s="1162"/>
      <c r="AG55" s="1162"/>
      <c r="AH55" s="1162"/>
      <c r="AI55" s="1162"/>
    </row>
    <row r="56" spans="1:35" ht="12.95" customHeight="1">
      <c r="D56" s="1162"/>
      <c r="E56" s="1162"/>
      <c r="F56" s="1162"/>
      <c r="G56" s="1162"/>
      <c r="H56" s="1162"/>
      <c r="I56" s="1162"/>
      <c r="J56" s="1162"/>
      <c r="K56" s="1162"/>
      <c r="L56" s="1162"/>
      <c r="M56" s="1162"/>
      <c r="N56" s="1162"/>
      <c r="O56" s="1162"/>
      <c r="P56" s="1162"/>
      <c r="Q56" s="1162"/>
      <c r="R56" s="1162"/>
      <c r="S56" s="1162"/>
      <c r="T56" s="1162"/>
      <c r="U56" s="1162"/>
      <c r="V56" s="1162"/>
      <c r="W56" s="1162"/>
      <c r="X56" s="1162"/>
      <c r="Y56" s="1162"/>
      <c r="Z56" s="1162"/>
      <c r="AA56" s="1162"/>
      <c r="AB56" s="1162"/>
      <c r="AC56" s="1162"/>
      <c r="AD56" s="1162"/>
      <c r="AE56" s="1162"/>
      <c r="AF56" s="1162"/>
      <c r="AG56" s="1162"/>
      <c r="AH56" s="1162"/>
      <c r="AI56" s="1162"/>
    </row>
    <row r="57" spans="1:35" ht="12.95" customHeight="1">
      <c r="A57" s="1092" t="s">
        <v>3400</v>
      </c>
      <c r="B57" s="1092"/>
      <c r="C57" s="1092"/>
      <c r="D57" s="1092"/>
      <c r="E57" s="1092"/>
      <c r="F57" s="1092"/>
      <c r="G57" s="1092"/>
      <c r="H57" s="1092"/>
      <c r="I57" s="1092"/>
      <c r="J57" s="1092"/>
      <c r="K57" s="1092"/>
      <c r="L57" s="1092"/>
      <c r="M57" s="1092"/>
      <c r="N57" s="1092"/>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row>
    <row r="58" spans="1:35" ht="13.7" customHeight="1">
      <c r="A58" s="1086" t="s">
        <v>39</v>
      </c>
      <c r="B58" s="799"/>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1087"/>
    </row>
    <row r="59" spans="1:35" ht="13.7" customHeight="1">
      <c r="A59" s="299"/>
      <c r="C59" s="16" t="s">
        <v>3342</v>
      </c>
      <c r="AB59" s="1102" t="s">
        <v>3343</v>
      </c>
      <c r="AC59" s="1102"/>
      <c r="AD59" s="1102"/>
      <c r="AE59" s="1102"/>
      <c r="AF59" s="1102"/>
      <c r="AG59" s="1102"/>
      <c r="AH59" s="1102"/>
      <c r="AI59" s="1161"/>
    </row>
    <row r="60" spans="1:35" ht="13.7" customHeight="1">
      <c r="A60" s="299"/>
      <c r="AI60" s="191"/>
    </row>
    <row r="61" spans="1:35" ht="17.100000000000001" customHeight="1">
      <c r="A61" s="299"/>
      <c r="P61" s="279" t="s">
        <v>234</v>
      </c>
      <c r="S61" s="249" t="s">
        <v>3344</v>
      </c>
      <c r="T61" s="1090" t="str">
        <f>cst_wskakunin_owner1_ZIP</f>
        <v/>
      </c>
      <c r="U61" s="1090"/>
      <c r="V61" s="1090"/>
      <c r="W61" s="1090"/>
      <c r="X61" s="1090"/>
      <c r="AI61" s="191"/>
    </row>
    <row r="62" spans="1:35" ht="17.100000000000001" customHeight="1">
      <c r="A62" s="299"/>
      <c r="R62" s="279" t="s">
        <v>261</v>
      </c>
      <c r="T62" s="1090" t="str">
        <f>cst_wskakunin_owner1__address</f>
        <v/>
      </c>
      <c r="U62" s="1090"/>
      <c r="V62" s="1090"/>
      <c r="W62" s="1090"/>
      <c r="X62" s="1090"/>
      <c r="Y62" s="1090"/>
      <c r="Z62" s="1090"/>
      <c r="AA62" s="1090"/>
      <c r="AB62" s="1090"/>
      <c r="AC62" s="1090"/>
      <c r="AD62" s="1090"/>
      <c r="AE62" s="1090"/>
      <c r="AF62" s="1090"/>
      <c r="AG62" s="1090"/>
      <c r="AH62" s="1090"/>
      <c r="AI62" s="191"/>
    </row>
    <row r="63" spans="1:35" ht="17.100000000000001" customHeight="1">
      <c r="A63" s="299"/>
      <c r="R63" s="279" t="s">
        <v>247</v>
      </c>
      <c r="T63" s="1090" t="str">
        <f>cst_wskakunin_owner1_NAME</f>
        <v/>
      </c>
      <c r="U63" s="1090"/>
      <c r="V63" s="1090"/>
      <c r="W63" s="1090"/>
      <c r="X63" s="1090"/>
      <c r="Y63" s="1090"/>
      <c r="Z63" s="1090"/>
      <c r="AA63" s="1090"/>
      <c r="AB63" s="1090"/>
      <c r="AC63" s="1090"/>
      <c r="AD63" s="1090"/>
      <c r="AE63" s="1090"/>
      <c r="AF63" s="1090"/>
      <c r="AG63" s="1090"/>
      <c r="AH63" s="1090"/>
      <c r="AI63" s="191"/>
    </row>
    <row r="64" spans="1:35" ht="14.45" customHeight="1">
      <c r="A64" s="299"/>
      <c r="T64" s="1090" t="str">
        <f>cst_wskakunin_owner2_NAME</f>
        <v/>
      </c>
      <c r="U64" s="1090"/>
      <c r="V64" s="1090"/>
      <c r="W64" s="1090"/>
      <c r="X64" s="1090"/>
      <c r="Y64" s="1090"/>
      <c r="Z64" s="1090"/>
      <c r="AA64" s="1090"/>
      <c r="AB64" s="1090"/>
      <c r="AC64" s="1090"/>
      <c r="AD64" s="1090"/>
      <c r="AE64" s="1090"/>
      <c r="AF64" s="1090"/>
      <c r="AG64" s="1090"/>
      <c r="AH64" s="1090"/>
      <c r="AI64" s="191"/>
    </row>
    <row r="65" spans="1:35" ht="14.45" customHeight="1">
      <c r="A65" s="299"/>
      <c r="T65" s="1090" t="str">
        <f>cst_wskakunin_owner3_NAME</f>
        <v/>
      </c>
      <c r="U65" s="1090"/>
      <c r="V65" s="1090"/>
      <c r="W65" s="1090"/>
      <c r="X65" s="1090"/>
      <c r="Y65" s="1090"/>
      <c r="Z65" s="1090"/>
      <c r="AA65" s="1090"/>
      <c r="AB65" s="1090"/>
      <c r="AC65" s="1090"/>
      <c r="AD65" s="1090"/>
      <c r="AE65" s="1090"/>
      <c r="AF65" s="1090"/>
      <c r="AG65" s="1090"/>
      <c r="AH65" s="1090"/>
      <c r="AI65" s="191"/>
    </row>
    <row r="66" spans="1:35" ht="14.45" customHeight="1">
      <c r="A66" s="299"/>
      <c r="T66" s="1090" t="str">
        <f>cst_wskakunin_owner4_NAME</f>
        <v/>
      </c>
      <c r="U66" s="1090"/>
      <c r="V66" s="1090"/>
      <c r="W66" s="1090"/>
      <c r="X66" s="1090"/>
      <c r="Y66" s="1090"/>
      <c r="Z66" s="1090"/>
      <c r="AA66" s="1090"/>
      <c r="AB66" s="1090"/>
      <c r="AC66" s="1090"/>
      <c r="AD66" s="1090"/>
      <c r="AE66" s="1090"/>
      <c r="AF66" s="1090"/>
      <c r="AG66" s="1090"/>
      <c r="AH66" s="1090"/>
      <c r="AI66" s="191"/>
    </row>
    <row r="67" spans="1:35" ht="14.45" customHeight="1">
      <c r="A67" s="299"/>
      <c r="T67" s="1090" t="str">
        <f>cst_wskakunin_owner5_NAME</f>
        <v/>
      </c>
      <c r="U67" s="1090"/>
      <c r="V67" s="1090"/>
      <c r="W67" s="1090"/>
      <c r="X67" s="1090"/>
      <c r="Y67" s="1090"/>
      <c r="Z67" s="1090"/>
      <c r="AA67" s="1090"/>
      <c r="AB67" s="1090"/>
      <c r="AC67" s="1090"/>
      <c r="AD67" s="1090"/>
      <c r="AE67" s="1090"/>
      <c r="AF67" s="1090"/>
      <c r="AG67" s="1090"/>
      <c r="AH67" s="1090"/>
      <c r="AI67" s="191"/>
    </row>
    <row r="68" spans="1:35" ht="14.45" customHeight="1">
      <c r="A68" s="299"/>
      <c r="R68" s="279" t="s">
        <v>264</v>
      </c>
      <c r="T68" s="1090" t="str">
        <f>cst_wskakunin_owner1_TEL</f>
        <v/>
      </c>
      <c r="U68" s="1090"/>
      <c r="V68" s="1090"/>
      <c r="W68" s="1090"/>
      <c r="X68" s="1090"/>
      <c r="Y68" s="1090"/>
      <c r="Z68" s="1090"/>
      <c r="AA68" s="1090"/>
      <c r="AB68" s="1090"/>
      <c r="AC68" s="1090"/>
      <c r="AD68" s="1090"/>
      <c r="AE68" s="1090"/>
      <c r="AF68" s="1090"/>
      <c r="AG68" s="1090"/>
      <c r="AH68" s="1090"/>
      <c r="AI68" s="191"/>
    </row>
    <row r="69" spans="1:35" ht="15.6" customHeight="1">
      <c r="A69" s="299"/>
      <c r="B69" s="16" t="s">
        <v>3345</v>
      </c>
      <c r="AI69" s="191"/>
    </row>
    <row r="70" spans="1:35" ht="15.95" customHeight="1">
      <c r="A70" s="1091" t="s">
        <v>3346</v>
      </c>
      <c r="B70" s="1092"/>
      <c r="C70" s="1092"/>
      <c r="D70" s="1092"/>
      <c r="E70" s="1092"/>
      <c r="F70" s="1092"/>
      <c r="G70" s="1092"/>
      <c r="H70" s="1092"/>
      <c r="I70" s="1092"/>
      <c r="J70" s="1092"/>
      <c r="K70" s="1092"/>
      <c r="L70" s="1092"/>
      <c r="M70" s="1092"/>
      <c r="N70" s="1092"/>
      <c r="O70" s="1092"/>
      <c r="P70" s="1092"/>
      <c r="Q70" s="1092"/>
      <c r="R70" s="1092"/>
      <c r="S70" s="1092"/>
      <c r="T70" s="1092"/>
      <c r="U70" s="1092"/>
      <c r="V70" s="1092"/>
      <c r="W70" s="1092"/>
      <c r="X70" s="1092"/>
      <c r="Y70" s="1092"/>
      <c r="Z70" s="1092"/>
      <c r="AA70" s="1092"/>
      <c r="AB70" s="1092"/>
      <c r="AC70" s="1092"/>
      <c r="AD70" s="1092"/>
      <c r="AE70" s="1092"/>
      <c r="AF70" s="1092"/>
      <c r="AG70" s="1092"/>
      <c r="AH70" s="1092"/>
      <c r="AI70" s="1093"/>
    </row>
    <row r="71" spans="1:35" ht="13.7" customHeight="1">
      <c r="A71" s="300"/>
      <c r="B71" s="1094" t="s">
        <v>3347</v>
      </c>
      <c r="C71" s="1094"/>
      <c r="D71" s="1094"/>
      <c r="E71" s="1094"/>
      <c r="F71" s="1094"/>
      <c r="G71" s="1094"/>
      <c r="H71" s="1095"/>
      <c r="I71" s="1104" t="s">
        <v>2947</v>
      </c>
      <c r="J71" s="1105"/>
      <c r="K71" s="1108" t="s">
        <v>3348</v>
      </c>
      <c r="L71" s="1108"/>
      <c r="M71" s="1108"/>
      <c r="N71" s="1108"/>
      <c r="O71" s="1108"/>
      <c r="P71" s="1108"/>
      <c r="Q71" s="1108"/>
      <c r="R71" s="1108"/>
      <c r="S71" s="1108"/>
      <c r="T71" s="1108"/>
      <c r="U71" s="1108"/>
      <c r="V71" s="1110" t="s">
        <v>2849</v>
      </c>
      <c r="W71" s="1110"/>
      <c r="X71" s="748"/>
      <c r="Y71" s="748"/>
      <c r="Z71" s="1098"/>
      <c r="AA71" s="1098"/>
      <c r="AB71" s="1098"/>
      <c r="AC71" s="1098"/>
      <c r="AD71" s="1098"/>
      <c r="AE71" s="1098"/>
      <c r="AF71" s="1098"/>
      <c r="AG71" s="1098"/>
      <c r="AH71" s="1098"/>
      <c r="AI71" s="1099"/>
    </row>
    <row r="72" spans="1:35" ht="13.7" customHeight="1">
      <c r="A72" s="301"/>
      <c r="B72" s="1096"/>
      <c r="C72" s="1096"/>
      <c r="D72" s="1096"/>
      <c r="E72" s="1096"/>
      <c r="F72" s="1096"/>
      <c r="G72" s="1096"/>
      <c r="H72" s="1097"/>
      <c r="I72" s="1106"/>
      <c r="J72" s="1107"/>
      <c r="K72" s="1109"/>
      <c r="L72" s="1109"/>
      <c r="M72" s="1109"/>
      <c r="N72" s="1109"/>
      <c r="O72" s="1109"/>
      <c r="P72" s="1109"/>
      <c r="Q72" s="1109"/>
      <c r="R72" s="1109"/>
      <c r="S72" s="1109"/>
      <c r="T72" s="1109"/>
      <c r="U72" s="1109"/>
      <c r="V72" s="1111"/>
      <c r="W72" s="1111"/>
      <c r="X72" s="193"/>
      <c r="Y72" s="193"/>
      <c r="Z72" s="1100"/>
      <c r="AA72" s="1100"/>
      <c r="AB72" s="1100"/>
      <c r="AC72" s="1100"/>
      <c r="AD72" s="1100"/>
      <c r="AE72" s="1100"/>
      <c r="AF72" s="1100"/>
      <c r="AG72" s="1100"/>
      <c r="AH72" s="1100"/>
      <c r="AI72" s="1101"/>
    </row>
    <row r="73" spans="1:35" ht="14.45" customHeight="1">
      <c r="A73" s="300"/>
      <c r="B73" s="799">
        <v>1</v>
      </c>
      <c r="C73" s="799" t="s">
        <v>3349</v>
      </c>
      <c r="D73" s="1113"/>
      <c r="E73" s="1113"/>
      <c r="F73" s="1113"/>
      <c r="G73" s="1113"/>
      <c r="H73" s="1114"/>
      <c r="I73" s="1118" t="str">
        <f>cst_wskakunin_BUILD__address</f>
        <v/>
      </c>
      <c r="J73" s="1119"/>
      <c r="K73" s="1119"/>
      <c r="L73" s="1119"/>
      <c r="M73" s="1119"/>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20"/>
    </row>
    <row r="74" spans="1:35" ht="14.45" customHeight="1">
      <c r="A74" s="299"/>
      <c r="B74" s="1103"/>
      <c r="C74" s="845"/>
      <c r="D74" s="845"/>
      <c r="E74" s="845"/>
      <c r="F74" s="845"/>
      <c r="G74" s="845"/>
      <c r="H74" s="1115"/>
      <c r="I74" s="1121"/>
      <c r="J74" s="1122"/>
      <c r="K74" s="1122"/>
      <c r="L74" s="1122"/>
      <c r="M74" s="1122"/>
      <c r="N74" s="1122"/>
      <c r="O74" s="1122"/>
      <c r="P74" s="1122"/>
      <c r="Q74" s="1122"/>
      <c r="R74" s="1122"/>
      <c r="S74" s="1122"/>
      <c r="T74" s="1122"/>
      <c r="U74" s="1122"/>
      <c r="V74" s="1122"/>
      <c r="W74" s="1122"/>
      <c r="X74" s="1122"/>
      <c r="Y74" s="1122"/>
      <c r="Z74" s="1122"/>
      <c r="AA74" s="1122"/>
      <c r="AB74" s="1122"/>
      <c r="AC74" s="1122"/>
      <c r="AD74" s="1122"/>
      <c r="AE74" s="1122"/>
      <c r="AF74" s="1122"/>
      <c r="AG74" s="1122"/>
      <c r="AH74" s="1122"/>
      <c r="AI74" s="1123"/>
    </row>
    <row r="75" spans="1:35" ht="14.45" customHeight="1">
      <c r="A75" s="299"/>
      <c r="B75" s="1103"/>
      <c r="C75" s="845"/>
      <c r="D75" s="845"/>
      <c r="E75" s="845"/>
      <c r="F75" s="845"/>
      <c r="G75" s="845"/>
      <c r="H75" s="1115"/>
      <c r="I75" s="1121"/>
      <c r="J75" s="1122"/>
      <c r="K75" s="1122"/>
      <c r="L75" s="1122"/>
      <c r="M75" s="1122"/>
      <c r="N75" s="1122"/>
      <c r="O75" s="1122"/>
      <c r="P75" s="1122"/>
      <c r="Q75" s="1122"/>
      <c r="R75" s="1122"/>
      <c r="S75" s="1122"/>
      <c r="T75" s="1122"/>
      <c r="U75" s="1122"/>
      <c r="V75" s="1122"/>
      <c r="W75" s="1122"/>
      <c r="X75" s="1122"/>
      <c r="Y75" s="1122"/>
      <c r="Z75" s="1122"/>
      <c r="AA75" s="1122"/>
      <c r="AB75" s="1122"/>
      <c r="AC75" s="1122"/>
      <c r="AD75" s="1122"/>
      <c r="AE75" s="1122"/>
      <c r="AF75" s="1122"/>
      <c r="AG75" s="1122"/>
      <c r="AH75" s="1122"/>
      <c r="AI75" s="1123"/>
    </row>
    <row r="76" spans="1:35" ht="14.45" customHeight="1">
      <c r="A76" s="301"/>
      <c r="B76" s="1092"/>
      <c r="C76" s="1116"/>
      <c r="D76" s="1116"/>
      <c r="E76" s="1116"/>
      <c r="F76" s="1116"/>
      <c r="G76" s="1116"/>
      <c r="H76" s="1117"/>
      <c r="I76" s="1124"/>
      <c r="J76" s="1125"/>
      <c r="K76" s="1125"/>
      <c r="L76" s="1125"/>
      <c r="M76" s="1125"/>
      <c r="N76" s="1125"/>
      <c r="O76" s="1125"/>
      <c r="P76" s="1125"/>
      <c r="Q76" s="1125"/>
      <c r="R76" s="1125"/>
      <c r="S76" s="1125"/>
      <c r="T76" s="1125"/>
      <c r="U76" s="1125"/>
      <c r="V76" s="1125"/>
      <c r="W76" s="1125"/>
      <c r="X76" s="1125"/>
      <c r="Y76" s="1125"/>
      <c r="Z76" s="1125"/>
      <c r="AA76" s="1125"/>
      <c r="AB76" s="1125"/>
      <c r="AC76" s="1125"/>
      <c r="AD76" s="1125"/>
      <c r="AE76" s="1125"/>
      <c r="AF76" s="1125"/>
      <c r="AG76" s="1125"/>
      <c r="AH76" s="1125"/>
      <c r="AI76" s="1126"/>
    </row>
    <row r="77" spans="1:35" ht="14.45" customHeight="1">
      <c r="A77" s="300"/>
      <c r="B77" s="799">
        <v>2</v>
      </c>
      <c r="C77" s="1127" t="s">
        <v>3350</v>
      </c>
      <c r="D77" s="1127"/>
      <c r="E77" s="1127"/>
      <c r="F77" s="1127"/>
      <c r="G77" s="1127"/>
      <c r="H77" s="1128"/>
      <c r="I77" s="300"/>
      <c r="J77" s="749" t="s">
        <v>2912</v>
      </c>
      <c r="K77" s="1133" t="str">
        <f>cst_wskakunin_sekkei1_SIKAKU</f>
        <v/>
      </c>
      <c r="L77" s="1133"/>
      <c r="M77" s="1133"/>
      <c r="N77" s="799" t="s">
        <v>3351</v>
      </c>
      <c r="O77" s="799"/>
      <c r="P77" s="799"/>
      <c r="Q77" s="749" t="s">
        <v>2912</v>
      </c>
      <c r="R77" s="1133" t="str">
        <f>cst_wskakunin_sekkei1_TOUROKU_KIKAN</f>
        <v/>
      </c>
      <c r="S77" s="1133"/>
      <c r="T77" s="1133"/>
      <c r="U77" s="1133"/>
      <c r="V77" s="1133"/>
      <c r="W77" s="799" t="s">
        <v>3352</v>
      </c>
      <c r="X77" s="799"/>
      <c r="Y77" s="799"/>
      <c r="Z77" s="1133" t="str">
        <f>cst_wskakunin_sekkei1_KENTIKUSI_NO</f>
        <v/>
      </c>
      <c r="AA77" s="1133"/>
      <c r="AB77" s="1133"/>
      <c r="AC77" s="1133"/>
      <c r="AD77" s="1133"/>
      <c r="AE77" s="1133"/>
      <c r="AF77" s="748" t="s">
        <v>2849</v>
      </c>
      <c r="AG77" s="748"/>
      <c r="AH77" s="748"/>
      <c r="AI77" s="750"/>
    </row>
    <row r="78" spans="1:35" ht="14.45" customHeight="1">
      <c r="A78" s="299"/>
      <c r="B78" s="1103"/>
      <c r="C78" s="1129"/>
      <c r="D78" s="1129"/>
      <c r="E78" s="1129"/>
      <c r="F78" s="1129"/>
      <c r="G78" s="1129"/>
      <c r="H78" s="1130"/>
      <c r="I78" s="1112" t="str">
        <f>cst_wskakunin_sekkei1_NAME</f>
        <v/>
      </c>
      <c r="J78" s="1090"/>
      <c r="K78" s="1090"/>
      <c r="L78" s="1090"/>
      <c r="M78" s="1090"/>
      <c r="N78" s="1090"/>
      <c r="O78" s="1090"/>
      <c r="P78" s="1090"/>
      <c r="Q78" s="1090"/>
      <c r="R78" s="1090"/>
      <c r="S78" s="1090"/>
      <c r="T78" s="1090"/>
      <c r="U78" s="1090"/>
      <c r="V78" s="1090"/>
      <c r="W78" s="1090"/>
      <c r="X78" s="1090"/>
      <c r="Y78" s="1090"/>
      <c r="Z78" s="1090"/>
      <c r="AA78" s="1090"/>
      <c r="AB78" s="1090"/>
      <c r="AC78" s="1090"/>
      <c r="AD78" s="1090"/>
      <c r="AE78" s="1090"/>
      <c r="AF78" s="1090"/>
      <c r="AG78" s="1090"/>
      <c r="AH78" s="1090"/>
      <c r="AI78" s="191"/>
    </row>
    <row r="79" spans="1:35" ht="14.45" customHeight="1">
      <c r="A79" s="299"/>
      <c r="B79" s="1103"/>
      <c r="C79" s="1129"/>
      <c r="D79" s="1129"/>
      <c r="E79" s="1129"/>
      <c r="F79" s="1129"/>
      <c r="G79" s="1129"/>
      <c r="H79" s="1130"/>
      <c r="I79" s="299"/>
      <c r="J79" s="279" t="s">
        <v>2912</v>
      </c>
      <c r="K79" s="1102" t="str">
        <f>cst_wskakunin_sekkei1_JIMU_SIKAKU</f>
        <v/>
      </c>
      <c r="L79" s="1102"/>
      <c r="M79" s="1102"/>
      <c r="N79" s="1103" t="s">
        <v>3353</v>
      </c>
      <c r="O79" s="1103"/>
      <c r="P79" s="1103"/>
      <c r="Q79" s="1103"/>
      <c r="R79" s="1103"/>
      <c r="S79" s="1102" t="str">
        <f>cst_wskakunin_sekkei1_JIMU_TOUROKU_KIKAN</f>
        <v/>
      </c>
      <c r="T79" s="1102"/>
      <c r="U79" s="1102"/>
      <c r="V79" s="1102"/>
      <c r="W79" s="1102"/>
      <c r="X79" s="1103" t="s">
        <v>2918</v>
      </c>
      <c r="Y79" s="1103"/>
      <c r="Z79" s="1103"/>
      <c r="AA79" s="1103"/>
      <c r="AB79" s="1102" t="str">
        <f>cst_wskakunin_sekkei1_JIMU_NO</f>
        <v/>
      </c>
      <c r="AC79" s="1102"/>
      <c r="AD79" s="1102"/>
      <c r="AE79" s="1102"/>
      <c r="AF79" s="1102"/>
      <c r="AG79" s="1102"/>
      <c r="AH79" s="16" t="s">
        <v>2849</v>
      </c>
      <c r="AI79" s="191"/>
    </row>
    <row r="80" spans="1:35" ht="14.45" customHeight="1">
      <c r="A80" s="299"/>
      <c r="B80" s="1103"/>
      <c r="C80" s="1129"/>
      <c r="D80" s="1129"/>
      <c r="E80" s="1129"/>
      <c r="F80" s="1129"/>
      <c r="G80" s="1129"/>
      <c r="H80" s="1130"/>
      <c r="I80" s="1112" t="str">
        <f>cst_wskakunin_sekkei1_JIMU_NAME</f>
        <v/>
      </c>
      <c r="J80" s="1090"/>
      <c r="K80" s="1090"/>
      <c r="L80" s="1090"/>
      <c r="M80" s="1090"/>
      <c r="N80" s="1090"/>
      <c r="O80" s="1090"/>
      <c r="P80" s="1090"/>
      <c r="Q80" s="1090"/>
      <c r="R80" s="1090"/>
      <c r="S80" s="1090"/>
      <c r="T80" s="1090"/>
      <c r="U80" s="1090"/>
      <c r="V80" s="1090"/>
      <c r="W80" s="1090"/>
      <c r="X80" s="1090"/>
      <c r="Y80" s="1090"/>
      <c r="Z80" s="1090"/>
      <c r="AA80" s="1090"/>
      <c r="AB80" s="1090"/>
      <c r="AC80" s="1090"/>
      <c r="AD80" s="1090"/>
      <c r="AE80" s="1090"/>
      <c r="AF80" s="1090"/>
      <c r="AG80" s="1090"/>
      <c r="AH80" s="1090"/>
      <c r="AI80" s="191"/>
    </row>
    <row r="81" spans="1:35" ht="14.45" customHeight="1">
      <c r="A81" s="299"/>
      <c r="B81" s="1103"/>
      <c r="C81" s="1129"/>
      <c r="D81" s="1129"/>
      <c r="E81" s="1129"/>
      <c r="F81" s="1129"/>
      <c r="G81" s="1129"/>
      <c r="H81" s="1130"/>
      <c r="I81" s="1112" t="str">
        <f>cst_wskakunin_sekkei1__address</f>
        <v/>
      </c>
      <c r="J81" s="1090"/>
      <c r="K81" s="1090"/>
      <c r="L81" s="1090"/>
      <c r="M81" s="1090"/>
      <c r="N81" s="1090"/>
      <c r="O81" s="1090"/>
      <c r="P81" s="1090"/>
      <c r="Q81" s="1090"/>
      <c r="R81" s="1090"/>
      <c r="S81" s="1090"/>
      <c r="T81" s="1090"/>
      <c r="U81" s="1090"/>
      <c r="V81" s="1090"/>
      <c r="W81" s="1090"/>
      <c r="X81" s="1090"/>
      <c r="Y81" s="1090"/>
      <c r="Z81" s="1090"/>
      <c r="AA81" s="1090"/>
      <c r="AB81" s="1090"/>
      <c r="AC81" s="1090"/>
      <c r="AD81" s="1090"/>
      <c r="AE81" s="1090"/>
      <c r="AF81" s="1090"/>
      <c r="AG81" s="1090"/>
      <c r="AH81" s="1090"/>
      <c r="AI81" s="191"/>
    </row>
    <row r="82" spans="1:35" ht="14.45" customHeight="1">
      <c r="A82" s="301"/>
      <c r="B82" s="1092"/>
      <c r="C82" s="1131"/>
      <c r="D82" s="1131"/>
      <c r="E82" s="1131"/>
      <c r="F82" s="1131"/>
      <c r="G82" s="1131"/>
      <c r="H82" s="1132"/>
      <c r="I82" s="1141" t="str">
        <f>cst_wskakunin_sekkei1_TEL</f>
        <v/>
      </c>
      <c r="J82" s="1142"/>
      <c r="K82" s="1142"/>
      <c r="L82" s="1142"/>
      <c r="M82" s="1142"/>
      <c r="N82" s="1142"/>
      <c r="O82" s="1142"/>
      <c r="P82" s="1142"/>
      <c r="Q82" s="1142"/>
      <c r="R82" s="1142"/>
      <c r="S82" s="1142"/>
      <c r="T82" s="1142"/>
      <c r="U82" s="1142"/>
      <c r="V82" s="1142"/>
      <c r="W82" s="1142"/>
      <c r="X82" s="1142"/>
      <c r="Y82" s="1142"/>
      <c r="Z82" s="1142"/>
      <c r="AA82" s="1142"/>
      <c r="AB82" s="1142"/>
      <c r="AC82" s="1142"/>
      <c r="AD82" s="1142"/>
      <c r="AE82" s="1142"/>
      <c r="AF82" s="1142"/>
      <c r="AG82" s="1142"/>
      <c r="AH82" s="1142"/>
      <c r="AI82" s="194"/>
    </row>
    <row r="83" spans="1:35" ht="15.75" customHeight="1">
      <c r="A83" s="300"/>
      <c r="B83" s="799">
        <v>3</v>
      </c>
      <c r="C83" s="1127" t="s">
        <v>3354</v>
      </c>
      <c r="D83" s="1127"/>
      <c r="E83" s="1127"/>
      <c r="F83" s="1127"/>
      <c r="G83" s="1127"/>
      <c r="H83" s="1128"/>
      <c r="I83" s="1136"/>
      <c r="J83" s="1137"/>
      <c r="K83" s="1137"/>
      <c r="L83" s="1137"/>
      <c r="M83" s="1137"/>
      <c r="N83" s="1137"/>
      <c r="O83" s="1137"/>
      <c r="P83" s="1137"/>
      <c r="Q83" s="1137"/>
      <c r="R83" s="1137"/>
      <c r="S83" s="1137"/>
      <c r="T83" s="1137"/>
      <c r="U83" s="1137"/>
      <c r="V83" s="1137"/>
      <c r="W83" s="1137"/>
      <c r="X83" s="1137"/>
      <c r="Y83" s="1137"/>
      <c r="Z83" s="1137"/>
      <c r="AA83" s="1137"/>
      <c r="AB83" s="1137"/>
      <c r="AC83" s="1137"/>
      <c r="AD83" s="1137"/>
      <c r="AE83" s="1137"/>
      <c r="AF83" s="1137"/>
      <c r="AG83" s="1137"/>
      <c r="AH83" s="1137"/>
      <c r="AI83" s="1138"/>
    </row>
    <row r="84" spans="1:35" ht="15.75" customHeight="1">
      <c r="A84" s="299"/>
      <c r="B84" s="1103"/>
      <c r="C84" s="1129"/>
      <c r="D84" s="1129"/>
      <c r="E84" s="1129"/>
      <c r="F84" s="1129"/>
      <c r="G84" s="1129"/>
      <c r="H84" s="1130"/>
      <c r="I84" s="1139"/>
      <c r="J84" s="1140"/>
      <c r="K84" s="1140"/>
      <c r="L84" s="1140"/>
      <c r="M84" s="1140"/>
      <c r="N84" s="1140"/>
      <c r="O84" s="1140"/>
      <c r="P84" s="1140"/>
      <c r="Q84" s="1140"/>
      <c r="R84" s="1140"/>
      <c r="S84" s="1140"/>
      <c r="U84" s="279" t="s">
        <v>3341</v>
      </c>
      <c r="V84" s="1140"/>
      <c r="W84" s="1140"/>
      <c r="X84" s="1140"/>
      <c r="Y84" s="1140"/>
      <c r="Z84" s="1140"/>
      <c r="AA84" s="1140"/>
      <c r="AB84" s="1140"/>
      <c r="AC84" s="1140"/>
      <c r="AD84" s="1140"/>
      <c r="AE84" s="1140"/>
      <c r="AF84" s="1140"/>
      <c r="AG84" s="1140"/>
      <c r="AH84" s="1140"/>
      <c r="AI84" s="191"/>
    </row>
    <row r="85" spans="1:35" ht="15.75" customHeight="1">
      <c r="A85" s="299"/>
      <c r="B85" s="1103"/>
      <c r="C85" s="1129"/>
      <c r="D85" s="1129"/>
      <c r="E85" s="1129"/>
      <c r="F85" s="1129"/>
      <c r="G85" s="1129"/>
      <c r="H85" s="1130"/>
      <c r="I85" s="299"/>
      <c r="L85" s="279" t="s">
        <v>3355</v>
      </c>
      <c r="M85" s="1102" t="s">
        <v>3356</v>
      </c>
      <c r="N85" s="1102"/>
      <c r="O85" s="302" t="s">
        <v>3357</v>
      </c>
      <c r="P85" s="1088"/>
      <c r="Q85" s="1088"/>
      <c r="R85" s="1088"/>
      <c r="S85" s="16" t="s">
        <v>2913</v>
      </c>
      <c r="T85" s="249" t="s">
        <v>2947</v>
      </c>
      <c r="U85" s="1088"/>
      <c r="V85" s="1088"/>
      <c r="W85" s="1088"/>
      <c r="X85" s="1088"/>
      <c r="Y85" s="1088"/>
      <c r="Z85" s="1088"/>
      <c r="AA85" s="1088"/>
      <c r="AB85" s="249" t="s">
        <v>2849</v>
      </c>
      <c r="AI85" s="191"/>
    </row>
    <row r="86" spans="1:35" ht="15.75" customHeight="1">
      <c r="A86" s="301"/>
      <c r="B86" s="1092"/>
      <c r="C86" s="1131"/>
      <c r="D86" s="1131"/>
      <c r="E86" s="1131"/>
      <c r="F86" s="1131"/>
      <c r="G86" s="1131"/>
      <c r="H86" s="1132"/>
      <c r="I86" s="301"/>
      <c r="J86" s="193"/>
      <c r="K86" s="193"/>
      <c r="L86" s="193"/>
      <c r="M86" s="193"/>
      <c r="N86" s="193"/>
      <c r="O86" s="193"/>
      <c r="P86" s="193"/>
      <c r="Q86" s="193"/>
      <c r="R86" s="193"/>
      <c r="S86" s="193"/>
      <c r="T86" s="193"/>
      <c r="U86" s="193"/>
      <c r="V86" s="193"/>
      <c r="W86" s="193"/>
      <c r="X86" s="278" t="s">
        <v>3358</v>
      </c>
      <c r="Y86" s="1134" t="s">
        <v>3359</v>
      </c>
      <c r="Z86" s="1134"/>
      <c r="AA86" s="1134"/>
      <c r="AB86" s="1134"/>
      <c r="AC86" s="1134"/>
      <c r="AD86" s="1134"/>
      <c r="AE86" s="1134"/>
      <c r="AF86" s="1134"/>
      <c r="AG86" s="1134"/>
      <c r="AH86" s="1134"/>
      <c r="AI86" s="1135"/>
    </row>
    <row r="87" spans="1:35" ht="14.45" customHeight="1">
      <c r="A87" s="300"/>
      <c r="B87" s="799">
        <v>4</v>
      </c>
      <c r="C87" s="1127" t="s">
        <v>3360</v>
      </c>
      <c r="D87" s="1127"/>
      <c r="E87" s="1127"/>
      <c r="F87" s="1127"/>
      <c r="G87" s="1127"/>
      <c r="H87" s="1128"/>
      <c r="I87" s="1136"/>
      <c r="J87" s="1137"/>
      <c r="K87" s="1137"/>
      <c r="L87" s="1137"/>
      <c r="M87" s="1137"/>
      <c r="N87" s="1137"/>
      <c r="O87" s="1137"/>
      <c r="P87" s="1137"/>
      <c r="Q87" s="1137"/>
      <c r="R87" s="1137"/>
      <c r="S87" s="1137"/>
      <c r="T87" s="1137"/>
      <c r="U87" s="1137"/>
      <c r="V87" s="1137"/>
      <c r="W87" s="1137"/>
      <c r="X87" s="1137"/>
      <c r="Y87" s="1137"/>
      <c r="Z87" s="1137"/>
      <c r="AA87" s="1137"/>
      <c r="AB87" s="1137"/>
      <c r="AC87" s="1137"/>
      <c r="AD87" s="1137"/>
      <c r="AE87" s="1137"/>
      <c r="AF87" s="1137"/>
      <c r="AG87" s="1137"/>
      <c r="AH87" s="1137"/>
      <c r="AI87" s="1138"/>
    </row>
    <row r="88" spans="1:35" ht="14.45" customHeight="1">
      <c r="A88" s="299"/>
      <c r="B88" s="1103"/>
      <c r="C88" s="1129"/>
      <c r="D88" s="1129"/>
      <c r="E88" s="1129"/>
      <c r="F88" s="1129"/>
      <c r="G88" s="1129"/>
      <c r="H88" s="1130"/>
      <c r="I88" s="1139"/>
      <c r="J88" s="1140"/>
      <c r="K88" s="1140"/>
      <c r="L88" s="1140"/>
      <c r="M88" s="1140"/>
      <c r="N88" s="1140"/>
      <c r="O88" s="1140"/>
      <c r="P88" s="1140"/>
      <c r="Q88" s="1140"/>
      <c r="R88" s="1140"/>
      <c r="S88" s="1140"/>
      <c r="U88" s="279" t="s">
        <v>3341</v>
      </c>
      <c r="V88" s="1140"/>
      <c r="W88" s="1140"/>
      <c r="X88" s="1140"/>
      <c r="Y88" s="1140"/>
      <c r="Z88" s="1140"/>
      <c r="AA88" s="1140"/>
      <c r="AB88" s="1140"/>
      <c r="AC88" s="1140"/>
      <c r="AD88" s="1140"/>
      <c r="AE88" s="1140"/>
      <c r="AF88" s="1140"/>
      <c r="AG88" s="1140"/>
      <c r="AH88" s="1140"/>
      <c r="AI88" s="191"/>
    </row>
    <row r="89" spans="1:35" ht="14.45" customHeight="1">
      <c r="A89" s="301"/>
      <c r="B89" s="1092"/>
      <c r="C89" s="1131"/>
      <c r="D89" s="1131"/>
      <c r="E89" s="1131"/>
      <c r="F89" s="1131"/>
      <c r="G89" s="1131"/>
      <c r="H89" s="1132"/>
      <c r="I89" s="306" t="s">
        <v>2947</v>
      </c>
      <c r="J89" s="1134"/>
      <c r="K89" s="1134"/>
      <c r="L89" s="1134"/>
      <c r="M89" s="1134"/>
      <c r="N89" s="1134"/>
      <c r="O89" s="1134"/>
      <c r="P89" s="1134"/>
      <c r="Q89" s="193" t="s">
        <v>2849</v>
      </c>
      <c r="R89" s="193"/>
      <c r="S89" s="193"/>
      <c r="T89" s="193"/>
      <c r="U89" s="193"/>
      <c r="V89" s="193"/>
      <c r="W89" s="193"/>
      <c r="X89" s="278" t="s">
        <v>3361</v>
      </c>
      <c r="Y89" s="1134" t="s">
        <v>3359</v>
      </c>
      <c r="Z89" s="1134"/>
      <c r="AA89" s="1134"/>
      <c r="AB89" s="1134"/>
      <c r="AC89" s="1134"/>
      <c r="AD89" s="1134"/>
      <c r="AE89" s="1134"/>
      <c r="AF89" s="1134"/>
      <c r="AG89" s="1134"/>
      <c r="AH89" s="1134"/>
      <c r="AI89" s="1135"/>
    </row>
    <row r="90" spans="1:35" ht="15.95" customHeight="1">
      <c r="A90" s="300"/>
      <c r="B90" s="799">
        <v>5</v>
      </c>
      <c r="C90" s="1127" t="s">
        <v>3362</v>
      </c>
      <c r="D90" s="799"/>
      <c r="E90" s="799"/>
      <c r="F90" s="799"/>
      <c r="G90" s="799"/>
      <c r="H90" s="1087"/>
      <c r="I90" s="748" t="s">
        <v>3363</v>
      </c>
      <c r="J90" s="748"/>
      <c r="K90" s="1137"/>
      <c r="L90" s="1137"/>
      <c r="M90" s="1137"/>
      <c r="N90" s="1137"/>
      <c r="O90" s="1137"/>
      <c r="P90" s="1137"/>
      <c r="Q90" s="1137"/>
      <c r="R90" s="748" t="s">
        <v>3364</v>
      </c>
      <c r="S90" s="748"/>
      <c r="T90" s="748"/>
      <c r="U90" s="748"/>
      <c r="V90" s="748"/>
      <c r="W90" s="748"/>
      <c r="X90" s="748"/>
      <c r="Y90" s="1149"/>
      <c r="Z90" s="1149"/>
      <c r="AA90" s="1149"/>
      <c r="AB90" s="1149"/>
      <c r="AC90" s="1149"/>
      <c r="AD90" s="1149"/>
      <c r="AE90" s="748" t="s">
        <v>3365</v>
      </c>
      <c r="AF90" s="748"/>
      <c r="AG90" s="748"/>
      <c r="AH90" s="748"/>
      <c r="AI90" s="750"/>
    </row>
    <row r="91" spans="1:35" ht="15.95" customHeight="1">
      <c r="A91" s="301"/>
      <c r="B91" s="1092"/>
      <c r="C91" s="1092"/>
      <c r="D91" s="1092"/>
      <c r="E91" s="1092"/>
      <c r="F91" s="1092"/>
      <c r="G91" s="1092"/>
      <c r="H91" s="1093"/>
      <c r="I91" s="193"/>
      <c r="J91" s="193"/>
      <c r="K91" s="1148"/>
      <c r="L91" s="1148"/>
      <c r="M91" s="1148"/>
      <c r="N91" s="1148"/>
      <c r="O91" s="1148"/>
      <c r="P91" s="1148"/>
      <c r="Q91" s="1148"/>
      <c r="R91" s="193"/>
      <c r="S91" s="193"/>
      <c r="T91" s="193"/>
      <c r="U91" s="193"/>
      <c r="V91" s="193"/>
      <c r="W91" s="193"/>
      <c r="X91" s="193"/>
      <c r="Y91" s="1134"/>
      <c r="Z91" s="1134"/>
      <c r="AA91" s="1134"/>
      <c r="AB91" s="1134"/>
      <c r="AC91" s="1134"/>
      <c r="AD91" s="1134"/>
      <c r="AE91" s="193" t="s">
        <v>3164</v>
      </c>
      <c r="AF91" s="193"/>
      <c r="AG91" s="193"/>
      <c r="AH91" s="193"/>
      <c r="AI91" s="194"/>
    </row>
    <row r="92" spans="1:35" ht="19.5" customHeight="1">
      <c r="A92" s="301"/>
      <c r="B92" s="274">
        <v>6</v>
      </c>
      <c r="C92" s="1092" t="s">
        <v>3366</v>
      </c>
      <c r="D92" s="1092"/>
      <c r="E92" s="1092"/>
      <c r="F92" s="1092"/>
      <c r="G92" s="1092"/>
      <c r="H92" s="1093"/>
      <c r="I92" s="1146"/>
      <c r="J92" s="1147"/>
      <c r="K92" s="1147"/>
      <c r="L92" s="1147"/>
      <c r="M92" s="1147"/>
      <c r="N92" s="1147"/>
      <c r="O92" s="1147"/>
      <c r="P92" s="1147"/>
      <c r="Q92" s="1147"/>
      <c r="R92" s="1147"/>
      <c r="S92" s="1147"/>
      <c r="T92" s="1147"/>
      <c r="U92" s="1147"/>
      <c r="V92" s="1147"/>
      <c r="W92" s="1147"/>
      <c r="X92" s="1147"/>
      <c r="Y92" s="1147"/>
      <c r="Z92" s="1147"/>
      <c r="AA92" s="1147"/>
      <c r="AB92" s="1147"/>
      <c r="AC92" s="1147"/>
      <c r="AD92" s="1147"/>
      <c r="AE92" s="1147"/>
      <c r="AF92" s="1147"/>
      <c r="AG92" s="1147"/>
      <c r="AH92" s="1147"/>
      <c r="AI92" s="1150"/>
    </row>
    <row r="93" spans="1:35" ht="15" customHeight="1">
      <c r="A93" s="300"/>
      <c r="B93" s="799">
        <v>7</v>
      </c>
      <c r="C93" s="799" t="s">
        <v>3367</v>
      </c>
      <c r="D93" s="799"/>
      <c r="E93" s="799"/>
      <c r="F93" s="799"/>
      <c r="G93" s="799"/>
      <c r="H93" s="1087"/>
      <c r="I93" s="308" t="s">
        <v>2832</v>
      </c>
      <c r="J93" s="16" t="s">
        <v>3368</v>
      </c>
      <c r="AI93" s="191"/>
    </row>
    <row r="94" spans="1:35" ht="15" customHeight="1">
      <c r="A94" s="299"/>
      <c r="B94" s="1103"/>
      <c r="C94" s="1103"/>
      <c r="D94" s="1103"/>
      <c r="E94" s="1103"/>
      <c r="F94" s="1103"/>
      <c r="G94" s="1103"/>
      <c r="H94" s="1143"/>
      <c r="I94" s="308" t="s">
        <v>2832</v>
      </c>
      <c r="J94" s="16" t="s">
        <v>3369</v>
      </c>
      <c r="AI94" s="191"/>
    </row>
    <row r="95" spans="1:35" ht="15" customHeight="1">
      <c r="A95" s="301"/>
      <c r="B95" s="1092"/>
      <c r="C95" s="1092"/>
      <c r="D95" s="1092"/>
      <c r="E95" s="1092"/>
      <c r="F95" s="1092"/>
      <c r="G95" s="1092"/>
      <c r="H95" s="1093"/>
      <c r="I95" s="301"/>
      <c r="J95" s="193" t="s">
        <v>3370</v>
      </c>
      <c r="K95" s="193"/>
      <c r="L95" s="193"/>
      <c r="M95" s="1134"/>
      <c r="N95" s="1134"/>
      <c r="O95" s="1134"/>
      <c r="P95" s="1134"/>
      <c r="Q95" s="1134"/>
      <c r="R95" s="1134"/>
      <c r="S95" s="1134"/>
      <c r="T95" s="1134"/>
      <c r="U95" s="1134"/>
      <c r="V95" s="193"/>
      <c r="W95" s="193"/>
      <c r="X95" s="278" t="s">
        <v>3371</v>
      </c>
      <c r="Y95" s="1168" t="s">
        <v>3359</v>
      </c>
      <c r="Z95" s="1168"/>
      <c r="AA95" s="1168"/>
      <c r="AB95" s="1168"/>
      <c r="AC95" s="1168"/>
      <c r="AD95" s="1168"/>
      <c r="AE95" s="1168"/>
      <c r="AF95" s="1168"/>
      <c r="AG95" s="1168"/>
      <c r="AH95" s="1168"/>
      <c r="AI95" s="1169"/>
    </row>
    <row r="96" spans="1:35" ht="15.6" customHeight="1">
      <c r="A96" s="301"/>
      <c r="B96" s="274">
        <v>8</v>
      </c>
      <c r="C96" s="1144" t="s">
        <v>3372</v>
      </c>
      <c r="D96" s="1144"/>
      <c r="E96" s="1144"/>
      <c r="F96" s="1144"/>
      <c r="G96" s="1144"/>
      <c r="H96" s="1145"/>
      <c r="I96" s="1146"/>
      <c r="J96" s="1147"/>
      <c r="K96" s="1147"/>
      <c r="L96" s="1147"/>
      <c r="M96" s="1147"/>
      <c r="N96" s="1147"/>
      <c r="O96" s="1147"/>
      <c r="P96" s="1147"/>
      <c r="Q96" s="1147"/>
      <c r="R96" s="1147"/>
      <c r="S96" s="1147"/>
      <c r="T96" s="1147"/>
      <c r="U96" s="1147"/>
      <c r="V96" s="1147"/>
      <c r="W96" s="1147"/>
      <c r="X96" s="1147"/>
      <c r="Y96" s="1147"/>
      <c r="Z96" s="1147"/>
      <c r="AA96" s="1147"/>
      <c r="AB96" s="1147"/>
      <c r="AC96" s="1147"/>
      <c r="AD96" s="1147"/>
      <c r="AE96" s="1147"/>
      <c r="AF96" s="1147"/>
      <c r="AG96" s="309"/>
      <c r="AH96" s="309"/>
      <c r="AI96" s="310" t="s">
        <v>3373</v>
      </c>
    </row>
    <row r="97" spans="1:35" ht="15" customHeight="1">
      <c r="A97" s="300"/>
      <c r="B97" s="799">
        <v>9</v>
      </c>
      <c r="C97" s="799" t="s">
        <v>3374</v>
      </c>
      <c r="D97" s="799"/>
      <c r="E97" s="799"/>
      <c r="F97" s="799"/>
      <c r="G97" s="799"/>
      <c r="H97" s="1087"/>
      <c r="I97" s="1157"/>
      <c r="J97" s="1158"/>
      <c r="K97" s="1158"/>
      <c r="L97" s="1158"/>
      <c r="M97" s="1158"/>
      <c r="N97" s="1158"/>
      <c r="O97" s="1158"/>
      <c r="P97" s="1158"/>
      <c r="Q97" s="1158"/>
      <c r="R97" s="1158"/>
      <c r="S97" s="1158"/>
      <c r="U97" s="279" t="s">
        <v>3375</v>
      </c>
      <c r="V97" s="1086" t="s">
        <v>3376</v>
      </c>
      <c r="W97" s="799"/>
      <c r="X97" s="799"/>
      <c r="Y97" s="799"/>
      <c r="Z97" s="799"/>
      <c r="AA97" s="1087"/>
      <c r="AB97" s="16" t="s">
        <v>3377</v>
      </c>
      <c r="AE97" s="1149"/>
      <c r="AF97" s="1149"/>
      <c r="AG97" s="1149"/>
      <c r="AH97" s="1149"/>
      <c r="AI97" s="1159"/>
    </row>
    <row r="98" spans="1:35" ht="15" customHeight="1">
      <c r="A98" s="301"/>
      <c r="B98" s="1092"/>
      <c r="C98" s="1092"/>
      <c r="D98" s="1092"/>
      <c r="E98" s="1092"/>
      <c r="F98" s="1092"/>
      <c r="G98" s="1092"/>
      <c r="H98" s="1093"/>
      <c r="I98" s="301" t="s">
        <v>3378</v>
      </c>
      <c r="J98" s="193"/>
      <c r="K98" s="193"/>
      <c r="L98" s="193"/>
      <c r="M98" s="1134"/>
      <c r="N98" s="1134"/>
      <c r="O98" s="1134"/>
      <c r="P98" s="1134"/>
      <c r="Q98" s="1134"/>
      <c r="R98" s="193"/>
      <c r="S98" s="193"/>
      <c r="U98" s="278" t="s">
        <v>3379</v>
      </c>
      <c r="V98" s="1091"/>
      <c r="W98" s="1092"/>
      <c r="X98" s="1092"/>
      <c r="Y98" s="1092"/>
      <c r="Z98" s="1092"/>
      <c r="AA98" s="1093"/>
      <c r="AB98" s="1160"/>
      <c r="AC98" s="1160"/>
      <c r="AD98" s="1160"/>
      <c r="AE98" s="193"/>
      <c r="AF98" s="193"/>
      <c r="AG98" s="193"/>
      <c r="AH98" s="193"/>
      <c r="AI98" s="311" t="s">
        <v>3380</v>
      </c>
    </row>
    <row r="99" spans="1:35" ht="14.45" customHeight="1">
      <c r="A99" s="300"/>
      <c r="B99" s="799">
        <v>11</v>
      </c>
      <c r="C99" s="1127" t="s">
        <v>3381</v>
      </c>
      <c r="D99" s="1127"/>
      <c r="E99" s="1127"/>
      <c r="F99" s="1127"/>
      <c r="G99" s="1127"/>
      <c r="H99" s="1128"/>
      <c r="I99" s="1151"/>
      <c r="J99" s="1152"/>
      <c r="K99" s="1152"/>
      <c r="L99" s="1152"/>
      <c r="M99" s="1152"/>
      <c r="N99" s="1152"/>
      <c r="O99" s="1152"/>
      <c r="P99" s="1152"/>
      <c r="Q99" s="1152"/>
      <c r="R99" s="1152"/>
      <c r="S99" s="1152"/>
      <c r="T99" s="1152"/>
      <c r="U99" s="1152"/>
      <c r="V99" s="1152"/>
      <c r="W99" s="1152"/>
      <c r="X99" s="1152"/>
      <c r="Y99" s="1152"/>
      <c r="Z99" s="1152"/>
      <c r="AA99" s="1152"/>
      <c r="AB99" s="1152"/>
      <c r="AC99" s="1152"/>
      <c r="AD99" s="1152"/>
      <c r="AE99" s="1152"/>
      <c r="AF99" s="1152"/>
      <c r="AG99" s="1152"/>
      <c r="AH99" s="1152"/>
      <c r="AI99" s="1153"/>
    </row>
    <row r="100" spans="1:35" ht="14.25" customHeight="1">
      <c r="A100" s="299"/>
      <c r="B100" s="1103"/>
      <c r="C100" s="1129"/>
      <c r="D100" s="1129"/>
      <c r="E100" s="1129"/>
      <c r="F100" s="1129"/>
      <c r="G100" s="1129"/>
      <c r="H100" s="1130"/>
      <c r="I100" s="1154"/>
      <c r="J100" s="1155"/>
      <c r="K100" s="1155"/>
      <c r="L100" s="1155"/>
      <c r="M100" s="1155"/>
      <c r="N100" s="1155"/>
      <c r="O100" s="1155"/>
      <c r="P100" s="1155"/>
      <c r="Q100" s="1155"/>
      <c r="R100" s="1155"/>
      <c r="S100" s="1155"/>
      <c r="T100" s="1155"/>
      <c r="U100" s="1155"/>
      <c r="V100" s="1155"/>
      <c r="W100" s="1155"/>
      <c r="X100" s="1155"/>
      <c r="Y100" s="1155"/>
      <c r="Z100" s="1155"/>
      <c r="AA100" s="1155"/>
      <c r="AB100" s="1155"/>
      <c r="AC100" s="1155"/>
      <c r="AD100" s="1155"/>
      <c r="AE100" s="1155"/>
      <c r="AF100" s="1155"/>
      <c r="AG100" s="1155"/>
      <c r="AH100" s="1155"/>
      <c r="AI100" s="1156"/>
    </row>
    <row r="101" spans="1:35" ht="14.45" customHeight="1">
      <c r="A101" s="301"/>
      <c r="B101" s="1092"/>
      <c r="C101" s="1131"/>
      <c r="D101" s="1131"/>
      <c r="E101" s="1131"/>
      <c r="F101" s="1131"/>
      <c r="G101" s="1131"/>
      <c r="H101" s="1132"/>
      <c r="I101" s="301"/>
      <c r="J101" s="193"/>
      <c r="K101" s="193"/>
      <c r="L101" s="193"/>
      <c r="M101" s="193"/>
      <c r="N101" s="193"/>
      <c r="O101" s="193"/>
      <c r="P101" s="193"/>
      <c r="Q101" s="193"/>
      <c r="R101" s="193"/>
      <c r="S101" s="193"/>
      <c r="T101" s="193"/>
      <c r="U101" s="193"/>
      <c r="V101" s="193"/>
      <c r="W101" s="193"/>
      <c r="X101" s="193" t="s">
        <v>3382</v>
      </c>
      <c r="Y101" s="193"/>
      <c r="Z101" s="193"/>
      <c r="AA101" s="193"/>
      <c r="AB101" s="193"/>
      <c r="AC101" s="1134"/>
      <c r="AD101" s="1134"/>
      <c r="AE101" s="1134"/>
      <c r="AF101" s="1134"/>
      <c r="AG101" s="1134"/>
      <c r="AH101" s="260" t="s">
        <v>3383</v>
      </c>
      <c r="AI101" s="194"/>
    </row>
    <row r="102" spans="1:35" ht="14.45" customHeight="1">
      <c r="A102" s="300"/>
      <c r="B102" s="799">
        <v>12</v>
      </c>
      <c r="C102" s="799" t="s">
        <v>3384</v>
      </c>
      <c r="D102" s="799"/>
      <c r="E102" s="799"/>
      <c r="F102" s="799"/>
      <c r="G102" s="799"/>
      <c r="H102" s="1087"/>
      <c r="I102" s="308" t="s">
        <v>2832</v>
      </c>
      <c r="J102" s="748" t="s">
        <v>3385</v>
      </c>
      <c r="K102" s="748"/>
      <c r="L102" s="748"/>
      <c r="M102" s="748"/>
      <c r="N102" s="748"/>
      <c r="O102" s="748"/>
      <c r="P102" s="748"/>
      <c r="Q102" s="748"/>
      <c r="R102" s="748"/>
      <c r="S102" s="748"/>
      <c r="T102" s="748"/>
      <c r="V102" s="1086" t="s">
        <v>3386</v>
      </c>
      <c r="W102" s="799"/>
      <c r="X102" s="799"/>
      <c r="Y102" s="799"/>
      <c r="Z102" s="799"/>
      <c r="AA102" s="1087"/>
      <c r="AB102" s="308" t="s">
        <v>2832</v>
      </c>
      <c r="AC102" s="748" t="s">
        <v>3387</v>
      </c>
      <c r="AD102" s="748"/>
      <c r="AE102" s="748"/>
      <c r="AF102" s="748"/>
      <c r="AG102" s="748"/>
      <c r="AH102" s="748"/>
      <c r="AI102" s="750"/>
    </row>
    <row r="103" spans="1:35" ht="14.45" customHeight="1">
      <c r="A103" s="301"/>
      <c r="B103" s="1092"/>
      <c r="C103" s="1092"/>
      <c r="D103" s="1092"/>
      <c r="E103" s="1092"/>
      <c r="F103" s="1092"/>
      <c r="G103" s="1092"/>
      <c r="H103" s="1093"/>
      <c r="I103" s="308" t="s">
        <v>2832</v>
      </c>
      <c r="J103" s="193" t="s">
        <v>1684</v>
      </c>
      <c r="K103" s="193"/>
      <c r="L103" s="278" t="s">
        <v>2912</v>
      </c>
      <c r="M103" s="1148"/>
      <c r="N103" s="1148"/>
      <c r="O103" s="1148"/>
      <c r="P103" s="1148"/>
      <c r="Q103" s="1148"/>
      <c r="R103" s="1148"/>
      <c r="S103" s="1148"/>
      <c r="T103" s="1148"/>
      <c r="U103" s="193" t="s">
        <v>2913</v>
      </c>
      <c r="V103" s="1091"/>
      <c r="W103" s="1092"/>
      <c r="X103" s="1092"/>
      <c r="Y103" s="1092"/>
      <c r="Z103" s="1092"/>
      <c r="AA103" s="1093"/>
      <c r="AB103" s="308" t="s">
        <v>2832</v>
      </c>
      <c r="AC103" s="193" t="s">
        <v>3388</v>
      </c>
      <c r="AD103" s="193"/>
      <c r="AE103" s="193"/>
      <c r="AF103" s="193"/>
      <c r="AG103" s="193"/>
      <c r="AH103" s="193"/>
      <c r="AI103" s="194"/>
    </row>
    <row r="104" spans="1:35" ht="15" customHeight="1">
      <c r="A104" s="299"/>
      <c r="B104" s="1103">
        <v>14</v>
      </c>
      <c r="C104" s="1129" t="s">
        <v>3389</v>
      </c>
      <c r="D104" s="1129"/>
      <c r="E104" s="1129"/>
      <c r="F104" s="1129"/>
      <c r="G104" s="1129"/>
      <c r="H104" s="1130"/>
      <c r="I104" s="312" t="s">
        <v>2832</v>
      </c>
      <c r="J104" s="748" t="s">
        <v>3390</v>
      </c>
      <c r="K104" s="748"/>
      <c r="L104" s="748"/>
      <c r="M104" s="748"/>
      <c r="N104" s="748"/>
      <c r="O104" s="748"/>
      <c r="P104" s="748"/>
      <c r="Q104" s="748"/>
      <c r="R104" s="748"/>
      <c r="S104" s="748"/>
      <c r="T104" s="748"/>
      <c r="U104" s="748"/>
      <c r="V104" s="748"/>
      <c r="W104" s="748"/>
      <c r="X104" s="748"/>
      <c r="Y104" s="748"/>
      <c r="Z104" s="748"/>
      <c r="AA104" s="748"/>
      <c r="AB104" s="748"/>
      <c r="AC104" s="748"/>
      <c r="AD104" s="748"/>
      <c r="AE104" s="748"/>
      <c r="AF104" s="748"/>
      <c r="AG104" s="748"/>
      <c r="AH104" s="748"/>
      <c r="AI104" s="750"/>
    </row>
    <row r="105" spans="1:35" ht="15" customHeight="1">
      <c r="A105" s="299"/>
      <c r="B105" s="1103"/>
      <c r="C105" s="1129"/>
      <c r="D105" s="1129"/>
      <c r="E105" s="1129"/>
      <c r="F105" s="1129"/>
      <c r="G105" s="1129"/>
      <c r="H105" s="1130"/>
      <c r="I105" s="308" t="s">
        <v>2832</v>
      </c>
      <c r="J105" s="16" t="s">
        <v>3391</v>
      </c>
      <c r="AI105" s="191"/>
    </row>
    <row r="106" spans="1:35" ht="15" customHeight="1">
      <c r="A106" s="299"/>
      <c r="B106" s="1103"/>
      <c r="C106" s="1129"/>
      <c r="D106" s="1129"/>
      <c r="E106" s="1129"/>
      <c r="F106" s="1129"/>
      <c r="G106" s="1129"/>
      <c r="H106" s="1130"/>
      <c r="I106" s="301"/>
      <c r="J106" s="193" t="s">
        <v>3392</v>
      </c>
      <c r="K106" s="193"/>
      <c r="L106" s="193"/>
      <c r="M106" s="193"/>
      <c r="N106" s="193"/>
      <c r="O106" s="193"/>
      <c r="P106" s="1134"/>
      <c r="Q106" s="1134"/>
      <c r="R106" s="1134"/>
      <c r="S106" s="1134"/>
      <c r="T106" s="1134"/>
      <c r="U106" s="1134"/>
      <c r="V106" s="1134"/>
      <c r="W106" s="1134"/>
      <c r="X106" s="193"/>
      <c r="Y106" s="193"/>
      <c r="Z106" s="193"/>
      <c r="AB106" s="278" t="s">
        <v>3393</v>
      </c>
      <c r="AC106" s="1134" t="s">
        <v>3394</v>
      </c>
      <c r="AD106" s="1134"/>
      <c r="AE106" s="1134"/>
      <c r="AF106" s="1134"/>
      <c r="AG106" s="1134"/>
      <c r="AH106" s="1134"/>
      <c r="AI106" s="1135"/>
    </row>
    <row r="107" spans="1:35" ht="24.6" customHeight="1">
      <c r="A107" s="313"/>
      <c r="B107" s="309">
        <v>15</v>
      </c>
      <c r="C107" s="1163" t="s">
        <v>3395</v>
      </c>
      <c r="D107" s="1163"/>
      <c r="E107" s="1163"/>
      <c r="F107" s="1163"/>
      <c r="G107" s="1163"/>
      <c r="H107" s="1164"/>
      <c r="I107" s="193" t="s">
        <v>3396</v>
      </c>
      <c r="J107" s="193"/>
      <c r="K107" s="193"/>
      <c r="L107" s="1147"/>
      <c r="M107" s="1147"/>
      <c r="N107" s="1147"/>
      <c r="O107" s="1147"/>
      <c r="P107" s="1147"/>
      <c r="Q107" s="1147"/>
      <c r="R107" s="1147"/>
      <c r="S107" s="1147"/>
      <c r="T107" s="1147"/>
      <c r="U107" s="1147"/>
      <c r="V107" s="1147"/>
      <c r="W107" s="1147"/>
      <c r="X107" s="1147"/>
      <c r="Y107" s="1147"/>
      <c r="Z107" s="1144" t="s">
        <v>3371</v>
      </c>
      <c r="AA107" s="1144"/>
      <c r="AB107" s="1144"/>
      <c r="AC107" s="1166" t="s">
        <v>3394</v>
      </c>
      <c r="AD107" s="1166"/>
      <c r="AE107" s="1166"/>
      <c r="AF107" s="1166"/>
      <c r="AG107" s="1166"/>
      <c r="AH107" s="1166"/>
      <c r="AI107" s="1167"/>
    </row>
    <row r="108" spans="1:35" ht="12.95" customHeight="1">
      <c r="B108" s="16" t="s">
        <v>2</v>
      </c>
    </row>
    <row r="109" spans="1:35" ht="12" customHeight="1">
      <c r="A109" s="192"/>
      <c r="B109" s="314">
        <v>1</v>
      </c>
      <c r="C109" s="192"/>
      <c r="D109" s="192" t="s">
        <v>3397</v>
      </c>
      <c r="E109" s="192"/>
    </row>
    <row r="110" spans="1:35" ht="12" customHeight="1">
      <c r="A110" s="192"/>
      <c r="B110" s="314">
        <v>2</v>
      </c>
      <c r="C110" s="192"/>
      <c r="D110" s="1170" t="s">
        <v>3398</v>
      </c>
      <c r="E110" s="1170"/>
      <c r="F110" s="1170"/>
      <c r="G110" s="1170"/>
      <c r="H110" s="1170"/>
      <c r="I110" s="1170"/>
      <c r="J110" s="1170"/>
      <c r="K110" s="1170"/>
      <c r="L110" s="1170"/>
      <c r="M110" s="1170"/>
      <c r="N110" s="1170"/>
      <c r="O110" s="1170"/>
      <c r="P110" s="1170"/>
      <c r="Q110" s="1170"/>
      <c r="R110" s="1170"/>
      <c r="S110" s="1170"/>
      <c r="T110" s="1170"/>
      <c r="U110" s="1170"/>
      <c r="V110" s="1170"/>
      <c r="W110" s="1170"/>
      <c r="X110" s="1170"/>
      <c r="Y110" s="1170"/>
      <c r="Z110" s="1170"/>
      <c r="AA110" s="1170"/>
      <c r="AB110" s="1170"/>
      <c r="AC110" s="1170"/>
      <c r="AD110" s="1170"/>
      <c r="AE110" s="1170"/>
      <c r="AF110" s="1170"/>
      <c r="AG110" s="1170"/>
      <c r="AH110" s="1170"/>
      <c r="AI110" s="1170"/>
    </row>
    <row r="111" spans="1:35" ht="12" customHeight="1">
      <c r="A111" s="192"/>
      <c r="B111" s="314"/>
      <c r="C111" s="192"/>
      <c r="D111" s="1170"/>
      <c r="E111" s="1170"/>
      <c r="F111" s="1170"/>
      <c r="G111" s="1170"/>
      <c r="H111" s="1170"/>
      <c r="I111" s="1170"/>
      <c r="J111" s="1170"/>
      <c r="K111" s="1170"/>
      <c r="L111" s="1170"/>
      <c r="M111" s="1170"/>
      <c r="N111" s="1170"/>
      <c r="O111" s="1170"/>
      <c r="P111" s="1170"/>
      <c r="Q111" s="1170"/>
      <c r="R111" s="1170"/>
      <c r="S111" s="1170"/>
      <c r="T111" s="1170"/>
      <c r="U111" s="1170"/>
      <c r="V111" s="1170"/>
      <c r="W111" s="1170"/>
      <c r="X111" s="1170"/>
      <c r="Y111" s="1170"/>
      <c r="Z111" s="1170"/>
      <c r="AA111" s="1170"/>
      <c r="AB111" s="1170"/>
      <c r="AC111" s="1170"/>
      <c r="AD111" s="1170"/>
      <c r="AE111" s="1170"/>
      <c r="AF111" s="1170"/>
      <c r="AG111" s="1170"/>
      <c r="AH111" s="1170"/>
      <c r="AI111" s="1170"/>
    </row>
    <row r="112" spans="1:35" ht="12" customHeight="1">
      <c r="A112" s="192"/>
      <c r="B112" s="314">
        <v>3</v>
      </c>
      <c r="C112" s="192"/>
      <c r="D112" s="1170" t="s">
        <v>3399</v>
      </c>
      <c r="E112" s="1170"/>
      <c r="F112" s="1170"/>
      <c r="G112" s="1170"/>
      <c r="H112" s="1170"/>
      <c r="I112" s="1170"/>
      <c r="J112" s="1170"/>
      <c r="K112" s="1170"/>
      <c r="L112" s="1170"/>
      <c r="M112" s="1170"/>
      <c r="N112" s="1170"/>
      <c r="O112" s="1170"/>
      <c r="P112" s="1170"/>
      <c r="Q112" s="1170"/>
      <c r="R112" s="1170"/>
      <c r="S112" s="1170"/>
      <c r="T112" s="1170"/>
      <c r="U112" s="1170"/>
      <c r="V112" s="1170"/>
      <c r="W112" s="1170"/>
      <c r="X112" s="1170"/>
      <c r="Y112" s="1170"/>
      <c r="Z112" s="1170"/>
      <c r="AA112" s="1170"/>
      <c r="AB112" s="1170"/>
      <c r="AC112" s="1170"/>
      <c r="AD112" s="1170"/>
      <c r="AE112" s="1170"/>
      <c r="AF112" s="1170"/>
      <c r="AG112" s="1170"/>
      <c r="AH112" s="1170"/>
      <c r="AI112" s="1170"/>
    </row>
    <row r="113" spans="1:35" ht="12" customHeight="1">
      <c r="D113" s="1170"/>
      <c r="E113" s="1170"/>
      <c r="F113" s="1170"/>
      <c r="G113" s="1170"/>
      <c r="H113" s="1170"/>
      <c r="I113" s="1170"/>
      <c r="J113" s="1170"/>
      <c r="K113" s="1170"/>
      <c r="L113" s="1170"/>
      <c r="M113" s="1170"/>
      <c r="N113" s="1170"/>
      <c r="O113" s="1170"/>
      <c r="P113" s="1170"/>
      <c r="Q113" s="1170"/>
      <c r="R113" s="1170"/>
      <c r="S113" s="1170"/>
      <c r="T113" s="1170"/>
      <c r="U113" s="1170"/>
      <c r="V113" s="1170"/>
      <c r="W113" s="1170"/>
      <c r="X113" s="1170"/>
      <c r="Y113" s="1170"/>
      <c r="Z113" s="1170"/>
      <c r="AA113" s="1170"/>
      <c r="AB113" s="1170"/>
      <c r="AC113" s="1170"/>
      <c r="AD113" s="1170"/>
      <c r="AE113" s="1170"/>
      <c r="AF113" s="1170"/>
      <c r="AG113" s="1170"/>
      <c r="AH113" s="1170"/>
      <c r="AI113" s="1170"/>
    </row>
    <row r="114" spans="1:35" ht="12.75" customHeight="1">
      <c r="A114" s="1171" t="s">
        <v>3401</v>
      </c>
      <c r="B114" s="1172"/>
      <c r="C114" s="1172"/>
      <c r="D114" s="1172"/>
      <c r="E114" s="1172"/>
      <c r="F114" s="1172"/>
      <c r="G114" s="1172"/>
      <c r="H114" s="1172"/>
      <c r="I114" s="1172"/>
      <c r="J114" s="1172"/>
      <c r="K114" s="1172"/>
      <c r="L114" s="1172"/>
      <c r="M114" s="1172"/>
      <c r="N114" s="1172"/>
      <c r="O114" s="1172"/>
      <c r="P114" s="1172"/>
      <c r="Q114" s="1172"/>
      <c r="R114" s="1172"/>
      <c r="S114" s="1172"/>
      <c r="T114" s="300"/>
      <c r="U114" s="748"/>
      <c r="V114" s="748" t="s">
        <v>3402</v>
      </c>
      <c r="W114" s="748"/>
      <c r="X114" s="748"/>
      <c r="Y114" s="748"/>
      <c r="Z114" s="748"/>
      <c r="AA114" s="748"/>
      <c r="AB114" s="748"/>
      <c r="AC114" s="748"/>
      <c r="AD114" s="748"/>
      <c r="AE114" s="748"/>
      <c r="AF114" s="748"/>
      <c r="AG114" s="748"/>
      <c r="AH114" s="748"/>
      <c r="AI114" s="750"/>
    </row>
    <row r="115" spans="1:35" ht="10.5" customHeight="1">
      <c r="A115" s="1173"/>
      <c r="B115" s="1174"/>
      <c r="C115" s="1174"/>
      <c r="D115" s="1174"/>
      <c r="E115" s="1174"/>
      <c r="F115" s="1174"/>
      <c r="G115" s="1174"/>
      <c r="H115" s="1174"/>
      <c r="I115" s="1174"/>
      <c r="J115" s="1174"/>
      <c r="K115" s="1174"/>
      <c r="L115" s="1174"/>
      <c r="M115" s="1174"/>
      <c r="N115" s="1174"/>
      <c r="O115" s="1174"/>
      <c r="P115" s="1174"/>
      <c r="Q115" s="1174"/>
      <c r="R115" s="1174"/>
      <c r="S115" s="1174"/>
      <c r="T115" s="299"/>
      <c r="AI115" s="191"/>
    </row>
    <row r="116" spans="1:35" ht="17.45" customHeight="1">
      <c r="A116" s="299"/>
      <c r="J116" s="1175" t="s">
        <v>3343</v>
      </c>
      <c r="K116" s="1175"/>
      <c r="L116" s="1175"/>
      <c r="M116" s="1175"/>
      <c r="N116" s="1175"/>
      <c r="O116" s="1175"/>
      <c r="P116" s="1175"/>
      <c r="Q116" s="1175"/>
      <c r="T116" s="299"/>
      <c r="AI116" s="191"/>
    </row>
    <row r="117" spans="1:35" ht="15.95" customHeight="1">
      <c r="A117" s="299"/>
      <c r="B117" s="16" t="s">
        <v>3403</v>
      </c>
      <c r="P117" s="279"/>
      <c r="T117" s="299"/>
      <c r="V117" s="249" t="s">
        <v>3344</v>
      </c>
      <c r="W117" s="1090" t="str">
        <f>cst_wskakunin_owner1_ZIP</f>
        <v/>
      </c>
      <c r="X117" s="1090"/>
      <c r="Y117" s="1090"/>
      <c r="Z117" s="1090"/>
      <c r="AA117" s="1090"/>
      <c r="AI117" s="191"/>
    </row>
    <row r="118" spans="1:35" ht="15.95" customHeight="1">
      <c r="A118" s="299"/>
      <c r="B118" s="16" t="s">
        <v>3404</v>
      </c>
      <c r="T118" s="299"/>
      <c r="V118" s="279" t="s">
        <v>261</v>
      </c>
      <c r="W118" s="1090" t="str">
        <f>cst_wskakunin_owner1__address</f>
        <v/>
      </c>
      <c r="X118" s="1090"/>
      <c r="Y118" s="1090"/>
      <c r="Z118" s="1090"/>
      <c r="AA118" s="1090"/>
      <c r="AB118" s="1090"/>
      <c r="AC118" s="1090"/>
      <c r="AD118" s="1090"/>
      <c r="AE118" s="1090"/>
      <c r="AF118" s="1090"/>
      <c r="AG118" s="1090"/>
      <c r="AH118" s="1090"/>
      <c r="AI118" s="1176"/>
    </row>
    <row r="119" spans="1:35" ht="15.6" customHeight="1">
      <c r="A119" s="299"/>
      <c r="I119" s="1178" t="s">
        <v>3405</v>
      </c>
      <c r="J119" s="1178"/>
      <c r="K119" s="1178"/>
      <c r="L119" s="1178"/>
      <c r="M119" s="1178"/>
      <c r="N119" s="1178"/>
      <c r="O119" s="1178"/>
      <c r="P119" s="1178"/>
      <c r="Q119" s="1178"/>
      <c r="T119" s="299"/>
      <c r="V119" s="279" t="s">
        <v>247</v>
      </c>
      <c r="W119" s="1090" t="str">
        <f>cst_wskakunin_owner1_NAME</f>
        <v/>
      </c>
      <c r="X119" s="1090"/>
      <c r="Y119" s="1090"/>
      <c r="Z119" s="1090"/>
      <c r="AA119" s="1090"/>
      <c r="AB119" s="1090"/>
      <c r="AC119" s="1090"/>
      <c r="AD119" s="1090"/>
      <c r="AE119" s="1090"/>
      <c r="AF119" s="1090"/>
      <c r="AG119" s="1090"/>
      <c r="AH119" s="1090"/>
      <c r="AI119" s="1176"/>
    </row>
    <row r="120" spans="1:35" ht="14.1" customHeight="1">
      <c r="A120" s="299"/>
      <c r="I120" s="1178"/>
      <c r="J120" s="1178"/>
      <c r="K120" s="1178"/>
      <c r="L120" s="1178"/>
      <c r="M120" s="1178"/>
      <c r="N120" s="1178"/>
      <c r="O120" s="1178"/>
      <c r="P120" s="1178"/>
      <c r="Q120" s="1178"/>
      <c r="T120" s="299"/>
      <c r="W120" s="1090" t="str">
        <f>cst_wskakunin_owner2_NAME</f>
        <v/>
      </c>
      <c r="X120" s="1090"/>
      <c r="Y120" s="1090"/>
      <c r="Z120" s="1090"/>
      <c r="AA120" s="1090"/>
      <c r="AB120" s="1090"/>
      <c r="AC120" s="1090"/>
      <c r="AD120" s="1090"/>
      <c r="AE120" s="1090"/>
      <c r="AF120" s="1090"/>
      <c r="AG120" s="1090"/>
      <c r="AH120" s="1090"/>
      <c r="AI120" s="1176"/>
    </row>
    <row r="121" spans="1:35" ht="14.1" customHeight="1">
      <c r="A121" s="299"/>
      <c r="I121" s="1178"/>
      <c r="J121" s="1178"/>
      <c r="K121" s="1178"/>
      <c r="L121" s="1178"/>
      <c r="M121" s="1178"/>
      <c r="N121" s="1178"/>
      <c r="O121" s="1178"/>
      <c r="P121" s="1178"/>
      <c r="Q121" s="1178"/>
      <c r="R121" s="16" t="s">
        <v>3406</v>
      </c>
      <c r="T121" s="299"/>
      <c r="W121" s="1090" t="str">
        <f>cst_wskakunin_owner3_NAME</f>
        <v/>
      </c>
      <c r="X121" s="1090"/>
      <c r="Y121" s="1090"/>
      <c r="Z121" s="1090"/>
      <c r="AA121" s="1090"/>
      <c r="AB121" s="1090"/>
      <c r="AC121" s="1090"/>
      <c r="AD121" s="1090"/>
      <c r="AE121" s="1090"/>
      <c r="AF121" s="1090"/>
      <c r="AG121" s="1090"/>
      <c r="AH121" s="1090"/>
      <c r="AI121" s="1176"/>
    </row>
    <row r="122" spans="1:35" ht="14.1" customHeight="1">
      <c r="A122" s="299"/>
      <c r="I122" s="1178"/>
      <c r="J122" s="1178"/>
      <c r="K122" s="1178"/>
      <c r="L122" s="1178"/>
      <c r="M122" s="1178"/>
      <c r="N122" s="1178"/>
      <c r="O122" s="1178"/>
      <c r="P122" s="1178"/>
      <c r="Q122" s="1178"/>
      <c r="T122" s="299"/>
      <c r="W122" s="1090" t="str">
        <f>cst_wskakunin_owner4_NAME</f>
        <v/>
      </c>
      <c r="X122" s="1090"/>
      <c r="Y122" s="1090"/>
      <c r="Z122" s="1090"/>
      <c r="AA122" s="1090"/>
      <c r="AB122" s="1090"/>
      <c r="AC122" s="1090"/>
      <c r="AD122" s="1090"/>
      <c r="AE122" s="1090"/>
      <c r="AF122" s="1090"/>
      <c r="AG122" s="1090"/>
      <c r="AH122" s="1090"/>
      <c r="AI122" s="1176"/>
    </row>
    <row r="123" spans="1:35" ht="15.95" customHeight="1">
      <c r="A123" s="299"/>
      <c r="T123" s="299"/>
      <c r="W123" s="1090" t="str">
        <f>cst_wskakunin_owner5_NAME</f>
        <v/>
      </c>
      <c r="X123" s="1090"/>
      <c r="Y123" s="1090"/>
      <c r="Z123" s="1090"/>
      <c r="AA123" s="1090"/>
      <c r="AB123" s="1090"/>
      <c r="AC123" s="1090"/>
      <c r="AD123" s="1090"/>
      <c r="AE123" s="1090"/>
      <c r="AF123" s="1090"/>
      <c r="AG123" s="1090"/>
      <c r="AH123" s="1090"/>
      <c r="AI123" s="1176"/>
    </row>
    <row r="124" spans="1:35" ht="15.95" customHeight="1">
      <c r="A124" s="299"/>
      <c r="D124" s="1177" t="s">
        <v>3407</v>
      </c>
      <c r="E124" s="1177"/>
      <c r="F124" s="1177"/>
      <c r="G124" s="1177"/>
      <c r="H124" s="1177"/>
      <c r="I124" s="1177"/>
      <c r="J124" s="1177"/>
      <c r="K124" s="1177"/>
      <c r="L124" s="1177"/>
      <c r="M124" s="1177"/>
      <c r="N124" s="1177"/>
      <c r="O124" s="1177"/>
      <c r="P124" s="1177"/>
      <c r="T124" s="299"/>
      <c r="V124" s="279" t="s">
        <v>264</v>
      </c>
      <c r="W124" s="1090" t="str">
        <f>cst_wskakunin_owner1_TEL</f>
        <v/>
      </c>
      <c r="X124" s="1090"/>
      <c r="Y124" s="1090"/>
      <c r="Z124" s="1090"/>
      <c r="AA124" s="1090"/>
      <c r="AB124" s="1090"/>
      <c r="AC124" s="1090"/>
      <c r="AD124" s="1090"/>
      <c r="AE124" s="1090"/>
      <c r="AF124" s="1090"/>
      <c r="AG124" s="1090"/>
      <c r="AH124" s="1090"/>
      <c r="AI124" s="1176"/>
    </row>
    <row r="125" spans="1:35" ht="15.95" customHeight="1">
      <c r="A125" s="301"/>
      <c r="B125" s="193"/>
      <c r="C125" s="193"/>
      <c r="D125" s="1096"/>
      <c r="E125" s="1096"/>
      <c r="F125" s="1096"/>
      <c r="G125" s="1096"/>
      <c r="H125" s="1096"/>
      <c r="I125" s="1096"/>
      <c r="J125" s="1096"/>
      <c r="K125" s="1096"/>
      <c r="L125" s="1096"/>
      <c r="M125" s="1096"/>
      <c r="N125" s="1096"/>
      <c r="O125" s="1096"/>
      <c r="P125" s="1096"/>
      <c r="Q125" s="193"/>
      <c r="R125" s="193"/>
      <c r="S125" s="193"/>
      <c r="T125" s="301"/>
      <c r="U125" s="193"/>
      <c r="V125" s="193"/>
      <c r="W125" s="193"/>
      <c r="X125" s="193"/>
      <c r="Y125" s="193"/>
      <c r="Z125" s="193"/>
      <c r="AA125" s="193"/>
      <c r="AB125" s="193"/>
      <c r="AC125" s="193"/>
      <c r="AD125" s="193"/>
      <c r="AE125" s="193"/>
      <c r="AF125" s="193"/>
      <c r="AG125" s="193"/>
      <c r="AH125" s="193"/>
      <c r="AI125" s="194"/>
    </row>
    <row r="126" spans="1:35" ht="13.7" customHeight="1">
      <c r="A126" s="300"/>
      <c r="B126" s="1094" t="s">
        <v>3347</v>
      </c>
      <c r="C126" s="1094"/>
      <c r="D126" s="1094"/>
      <c r="E126" s="1094"/>
      <c r="F126" s="1094"/>
      <c r="G126" s="1094"/>
      <c r="H126" s="1095"/>
      <c r="I126" s="1104" t="s">
        <v>2947</v>
      </c>
      <c r="J126" s="1105"/>
      <c r="K126" s="1108" t="s">
        <v>3348</v>
      </c>
      <c r="L126" s="1108"/>
      <c r="M126" s="1108"/>
      <c r="N126" s="1108"/>
      <c r="O126" s="1108"/>
      <c r="P126" s="1108"/>
      <c r="Q126" s="1108"/>
      <c r="R126" s="1108"/>
      <c r="S126" s="1108"/>
      <c r="T126" s="1108"/>
      <c r="U126" s="1108"/>
      <c r="V126" s="1110" t="s">
        <v>2849</v>
      </c>
      <c r="W126" s="1110"/>
      <c r="X126" s="748"/>
      <c r="Y126" s="748"/>
      <c r="Z126" s="1098"/>
      <c r="AA126" s="1098"/>
      <c r="AB126" s="1098"/>
      <c r="AC126" s="1098"/>
      <c r="AD126" s="1098"/>
      <c r="AE126" s="1098"/>
      <c r="AF126" s="1098"/>
      <c r="AG126" s="1098"/>
      <c r="AH126" s="1098"/>
      <c r="AI126" s="1099"/>
    </row>
    <row r="127" spans="1:35" ht="13.7" customHeight="1">
      <c r="A127" s="301"/>
      <c r="B127" s="1096"/>
      <c r="C127" s="1096"/>
      <c r="D127" s="1096"/>
      <c r="E127" s="1096"/>
      <c r="F127" s="1096"/>
      <c r="G127" s="1096"/>
      <c r="H127" s="1097"/>
      <c r="I127" s="1106"/>
      <c r="J127" s="1107"/>
      <c r="K127" s="1109"/>
      <c r="L127" s="1109"/>
      <c r="M127" s="1109"/>
      <c r="N127" s="1109"/>
      <c r="O127" s="1109"/>
      <c r="P127" s="1109"/>
      <c r="Q127" s="1109"/>
      <c r="R127" s="1109"/>
      <c r="S127" s="1109"/>
      <c r="T127" s="1109"/>
      <c r="U127" s="1109"/>
      <c r="V127" s="1111"/>
      <c r="W127" s="1111"/>
      <c r="X127" s="193"/>
      <c r="Y127" s="193"/>
      <c r="Z127" s="1100"/>
      <c r="AA127" s="1100"/>
      <c r="AB127" s="1100"/>
      <c r="AC127" s="1100"/>
      <c r="AD127" s="1100"/>
      <c r="AE127" s="1100"/>
      <c r="AF127" s="1100"/>
      <c r="AG127" s="1100"/>
      <c r="AH127" s="1100"/>
      <c r="AI127" s="1101"/>
    </row>
    <row r="128" spans="1:35" ht="14.45" customHeight="1">
      <c r="A128" s="300"/>
      <c r="B128" s="799">
        <v>1</v>
      </c>
      <c r="C128" s="799" t="s">
        <v>3349</v>
      </c>
      <c r="D128" s="1113"/>
      <c r="E128" s="1113"/>
      <c r="F128" s="1113"/>
      <c r="G128" s="1113"/>
      <c r="H128" s="1114"/>
      <c r="I128" s="1118" t="str">
        <f>cst_wskakunin_BUILD__address</f>
        <v/>
      </c>
      <c r="J128" s="1119"/>
      <c r="K128" s="1119"/>
      <c r="L128" s="1119"/>
      <c r="M128" s="1119"/>
      <c r="N128" s="1119"/>
      <c r="O128" s="1119"/>
      <c r="P128" s="1119"/>
      <c r="Q128" s="1119"/>
      <c r="R128" s="1119"/>
      <c r="S128" s="1119"/>
      <c r="T128" s="1119"/>
      <c r="U128" s="1119"/>
      <c r="V128" s="1119"/>
      <c r="W128" s="1119"/>
      <c r="X128" s="1119"/>
      <c r="Y128" s="1119"/>
      <c r="Z128" s="1119"/>
      <c r="AA128" s="1119"/>
      <c r="AB128" s="1119"/>
      <c r="AC128" s="1119"/>
      <c r="AD128" s="1119"/>
      <c r="AE128" s="1119"/>
      <c r="AF128" s="1119"/>
      <c r="AG128" s="1119"/>
      <c r="AH128" s="1119"/>
      <c r="AI128" s="1120"/>
    </row>
    <row r="129" spans="1:35" ht="14.45" customHeight="1">
      <c r="A129" s="299"/>
      <c r="B129" s="1103"/>
      <c r="C129" s="845"/>
      <c r="D129" s="845"/>
      <c r="E129" s="845"/>
      <c r="F129" s="845"/>
      <c r="G129" s="845"/>
      <c r="H129" s="1115"/>
      <c r="I129" s="1121"/>
      <c r="J129" s="1122"/>
      <c r="K129" s="1122"/>
      <c r="L129" s="1122"/>
      <c r="M129" s="1122"/>
      <c r="N129" s="1122"/>
      <c r="O129" s="1122"/>
      <c r="P129" s="1122"/>
      <c r="Q129" s="1122"/>
      <c r="R129" s="1122"/>
      <c r="S129" s="1122"/>
      <c r="T129" s="1122"/>
      <c r="U129" s="1122"/>
      <c r="V129" s="1122"/>
      <c r="W129" s="1122"/>
      <c r="X129" s="1122"/>
      <c r="Y129" s="1122"/>
      <c r="Z129" s="1122"/>
      <c r="AA129" s="1122"/>
      <c r="AB129" s="1122"/>
      <c r="AC129" s="1122"/>
      <c r="AD129" s="1122"/>
      <c r="AE129" s="1122"/>
      <c r="AF129" s="1122"/>
      <c r="AG129" s="1122"/>
      <c r="AH129" s="1122"/>
      <c r="AI129" s="1123"/>
    </row>
    <row r="130" spans="1:35" ht="14.45" customHeight="1">
      <c r="A130" s="299"/>
      <c r="B130" s="1103"/>
      <c r="C130" s="845"/>
      <c r="D130" s="845"/>
      <c r="E130" s="845"/>
      <c r="F130" s="845"/>
      <c r="G130" s="845"/>
      <c r="H130" s="1115"/>
      <c r="I130" s="1121"/>
      <c r="J130" s="1122"/>
      <c r="K130" s="1122"/>
      <c r="L130" s="1122"/>
      <c r="M130" s="1122"/>
      <c r="N130" s="1122"/>
      <c r="O130" s="1122"/>
      <c r="P130" s="1122"/>
      <c r="Q130" s="1122"/>
      <c r="R130" s="1122"/>
      <c r="S130" s="1122"/>
      <c r="T130" s="1122"/>
      <c r="U130" s="1122"/>
      <c r="V130" s="1122"/>
      <c r="W130" s="1122"/>
      <c r="X130" s="1122"/>
      <c r="Y130" s="1122"/>
      <c r="Z130" s="1122"/>
      <c r="AA130" s="1122"/>
      <c r="AB130" s="1122"/>
      <c r="AC130" s="1122"/>
      <c r="AD130" s="1122"/>
      <c r="AE130" s="1122"/>
      <c r="AF130" s="1122"/>
      <c r="AG130" s="1122"/>
      <c r="AH130" s="1122"/>
      <c r="AI130" s="1123"/>
    </row>
    <row r="131" spans="1:35" ht="14.45" customHeight="1">
      <c r="A131" s="301"/>
      <c r="B131" s="1092"/>
      <c r="C131" s="1116"/>
      <c r="D131" s="1116"/>
      <c r="E131" s="1116"/>
      <c r="F131" s="1116"/>
      <c r="G131" s="1116"/>
      <c r="H131" s="1117"/>
      <c r="I131" s="1124"/>
      <c r="J131" s="1125"/>
      <c r="K131" s="1125"/>
      <c r="L131" s="1125"/>
      <c r="M131" s="1125"/>
      <c r="N131" s="1125"/>
      <c r="O131" s="1125"/>
      <c r="P131" s="1125"/>
      <c r="Q131" s="1125"/>
      <c r="R131" s="1125"/>
      <c r="S131" s="1125"/>
      <c r="T131" s="1125"/>
      <c r="U131" s="1125"/>
      <c r="V131" s="1125"/>
      <c r="W131" s="1125"/>
      <c r="X131" s="1125"/>
      <c r="Y131" s="1125"/>
      <c r="Z131" s="1125"/>
      <c r="AA131" s="1125"/>
      <c r="AB131" s="1125"/>
      <c r="AC131" s="1125"/>
      <c r="AD131" s="1125"/>
      <c r="AE131" s="1125"/>
      <c r="AF131" s="1125"/>
      <c r="AG131" s="1125"/>
      <c r="AH131" s="1125"/>
      <c r="AI131" s="1126"/>
    </row>
    <row r="132" spans="1:35" ht="14.45" customHeight="1">
      <c r="A132" s="300"/>
      <c r="B132" s="799">
        <v>2</v>
      </c>
      <c r="C132" s="1127" t="s">
        <v>3350</v>
      </c>
      <c r="D132" s="1127"/>
      <c r="E132" s="1127"/>
      <c r="F132" s="1127"/>
      <c r="G132" s="1127"/>
      <c r="H132" s="1128"/>
      <c r="I132" s="300"/>
      <c r="J132" s="749" t="s">
        <v>2912</v>
      </c>
      <c r="K132" s="1133" t="str">
        <f>cst_wskakunin_sekkei1_SIKAKU</f>
        <v/>
      </c>
      <c r="L132" s="1133"/>
      <c r="M132" s="1133"/>
      <c r="N132" s="1179" t="s">
        <v>3351</v>
      </c>
      <c r="O132" s="1179"/>
      <c r="P132" s="1179"/>
      <c r="Q132" s="749" t="s">
        <v>2912</v>
      </c>
      <c r="R132" s="1133" t="str">
        <f>cst_wskakunin_sekkei1_TOUROKU_KIKAN</f>
        <v/>
      </c>
      <c r="S132" s="1133"/>
      <c r="T132" s="1133"/>
      <c r="U132" s="1133"/>
      <c r="V132" s="1133"/>
      <c r="W132" s="799" t="s">
        <v>3352</v>
      </c>
      <c r="X132" s="799"/>
      <c r="Y132" s="799"/>
      <c r="Z132" s="1133" t="str">
        <f>cst_wskakunin_sekkei1_KENTIKUSI_NO</f>
        <v/>
      </c>
      <c r="AA132" s="1133"/>
      <c r="AB132" s="1133"/>
      <c r="AC132" s="1133"/>
      <c r="AD132" s="1133"/>
      <c r="AE132" s="1133"/>
      <c r="AF132" s="748" t="s">
        <v>2849</v>
      </c>
      <c r="AG132" s="748"/>
      <c r="AH132" s="748"/>
      <c r="AI132" s="750"/>
    </row>
    <row r="133" spans="1:35" ht="14.45" customHeight="1">
      <c r="A133" s="299"/>
      <c r="B133" s="1103"/>
      <c r="C133" s="1129"/>
      <c r="D133" s="1129"/>
      <c r="E133" s="1129"/>
      <c r="F133" s="1129"/>
      <c r="G133" s="1129"/>
      <c r="H133" s="1130"/>
      <c r="I133" s="1112" t="str">
        <f>cst_wskakunin_sekkei1_NAME</f>
        <v/>
      </c>
      <c r="J133" s="1090"/>
      <c r="K133" s="1090"/>
      <c r="L133" s="1090"/>
      <c r="M133" s="1090"/>
      <c r="N133" s="1090"/>
      <c r="O133" s="1090"/>
      <c r="P133" s="1090"/>
      <c r="Q133" s="1090"/>
      <c r="R133" s="1090"/>
      <c r="S133" s="1090"/>
      <c r="T133" s="1090"/>
      <c r="U133" s="1090"/>
      <c r="V133" s="1090"/>
      <c r="W133" s="1090"/>
      <c r="X133" s="1090"/>
      <c r="Y133" s="1090"/>
      <c r="Z133" s="1090"/>
      <c r="AA133" s="1090"/>
      <c r="AB133" s="1090"/>
      <c r="AC133" s="1090"/>
      <c r="AD133" s="1090"/>
      <c r="AE133" s="1090"/>
      <c r="AF133" s="1090"/>
      <c r="AG133" s="1090"/>
      <c r="AH133" s="1090"/>
      <c r="AI133" s="191"/>
    </row>
    <row r="134" spans="1:35" ht="14.45" customHeight="1">
      <c r="A134" s="299"/>
      <c r="B134" s="1103"/>
      <c r="C134" s="1129"/>
      <c r="D134" s="1129"/>
      <c r="E134" s="1129"/>
      <c r="F134" s="1129"/>
      <c r="G134" s="1129"/>
      <c r="H134" s="1130"/>
      <c r="I134" s="299"/>
      <c r="J134" s="279" t="s">
        <v>2912</v>
      </c>
      <c r="K134" s="1102" t="str">
        <f>cst_wskakunin_sekkei1_JIMU_SIKAKU</f>
        <v/>
      </c>
      <c r="L134" s="1102"/>
      <c r="M134" s="1102"/>
      <c r="N134" s="1103" t="s">
        <v>3353</v>
      </c>
      <c r="O134" s="1103"/>
      <c r="P134" s="1103"/>
      <c r="Q134" s="1103"/>
      <c r="R134" s="1103"/>
      <c r="S134" s="1102" t="str">
        <f>cst_wskakunin_sekkei1_JIMU_TOUROKU_KIKAN</f>
        <v/>
      </c>
      <c r="T134" s="1102"/>
      <c r="U134" s="1102"/>
      <c r="V134" s="1102"/>
      <c r="W134" s="1102"/>
      <c r="X134" s="1103" t="s">
        <v>2918</v>
      </c>
      <c r="Y134" s="1103"/>
      <c r="Z134" s="1103"/>
      <c r="AA134" s="1103"/>
      <c r="AB134" s="1102" t="str">
        <f>cst_wskakunin_sekkei1_JIMU_NO</f>
        <v/>
      </c>
      <c r="AC134" s="1102"/>
      <c r="AD134" s="1102"/>
      <c r="AE134" s="1102"/>
      <c r="AF134" s="1102"/>
      <c r="AG134" s="1102"/>
      <c r="AH134" s="16" t="s">
        <v>2849</v>
      </c>
      <c r="AI134" s="191"/>
    </row>
    <row r="135" spans="1:35" ht="14.45" customHeight="1">
      <c r="A135" s="299"/>
      <c r="B135" s="1103"/>
      <c r="C135" s="1129"/>
      <c r="D135" s="1129"/>
      <c r="E135" s="1129"/>
      <c r="F135" s="1129"/>
      <c r="G135" s="1129"/>
      <c r="H135" s="1130"/>
      <c r="I135" s="1112" t="str">
        <f>cst_wskakunin_sekkei1_JIMU_NAME</f>
        <v/>
      </c>
      <c r="J135" s="1090"/>
      <c r="K135" s="1090"/>
      <c r="L135" s="1090"/>
      <c r="M135" s="1090"/>
      <c r="N135" s="1090"/>
      <c r="O135" s="1090"/>
      <c r="P135" s="1090"/>
      <c r="Q135" s="1090"/>
      <c r="R135" s="1090"/>
      <c r="S135" s="1090"/>
      <c r="T135" s="1090"/>
      <c r="U135" s="1090"/>
      <c r="V135" s="1090"/>
      <c r="W135" s="1090"/>
      <c r="X135" s="1090"/>
      <c r="Y135" s="1090"/>
      <c r="Z135" s="1090"/>
      <c r="AA135" s="1090"/>
      <c r="AB135" s="1090"/>
      <c r="AC135" s="1090"/>
      <c r="AD135" s="1090"/>
      <c r="AE135" s="1090"/>
      <c r="AF135" s="1090"/>
      <c r="AG135" s="1090"/>
      <c r="AH135" s="1090"/>
      <c r="AI135" s="191"/>
    </row>
    <row r="136" spans="1:35" ht="14.45" customHeight="1">
      <c r="A136" s="299"/>
      <c r="B136" s="1103"/>
      <c r="C136" s="1129"/>
      <c r="D136" s="1129"/>
      <c r="E136" s="1129"/>
      <c r="F136" s="1129"/>
      <c r="G136" s="1129"/>
      <c r="H136" s="1130"/>
      <c r="I136" s="1112" t="str">
        <f>cst_wskakunin_sekkei1__address</f>
        <v/>
      </c>
      <c r="J136" s="1090"/>
      <c r="K136" s="1090"/>
      <c r="L136" s="1090"/>
      <c r="M136" s="1090"/>
      <c r="N136" s="1090"/>
      <c r="O136" s="1090"/>
      <c r="P136" s="1090"/>
      <c r="Q136" s="1090"/>
      <c r="R136" s="1090"/>
      <c r="S136" s="1090"/>
      <c r="T136" s="1090"/>
      <c r="U136" s="1090"/>
      <c r="V136" s="1090"/>
      <c r="W136" s="1090"/>
      <c r="X136" s="1090"/>
      <c r="Y136" s="1090"/>
      <c r="Z136" s="1090"/>
      <c r="AA136" s="1090"/>
      <c r="AB136" s="1090"/>
      <c r="AC136" s="1090"/>
      <c r="AD136" s="1090"/>
      <c r="AE136" s="1090"/>
      <c r="AF136" s="1090"/>
      <c r="AG136" s="1090"/>
      <c r="AH136" s="1090"/>
      <c r="AI136" s="191"/>
    </row>
    <row r="137" spans="1:35" ht="14.45" customHeight="1">
      <c r="A137" s="301"/>
      <c r="B137" s="1092"/>
      <c r="C137" s="1131"/>
      <c r="D137" s="1131"/>
      <c r="E137" s="1131"/>
      <c r="F137" s="1131"/>
      <c r="G137" s="1131"/>
      <c r="H137" s="1132"/>
      <c r="I137" s="1141" t="str">
        <f>cst_wskakunin_sekkei1_TEL</f>
        <v/>
      </c>
      <c r="J137" s="1142"/>
      <c r="K137" s="1142"/>
      <c r="L137" s="1142"/>
      <c r="M137" s="1142"/>
      <c r="N137" s="1142"/>
      <c r="O137" s="1142"/>
      <c r="P137" s="1142"/>
      <c r="Q137" s="1142"/>
      <c r="R137" s="1142"/>
      <c r="S137" s="1142"/>
      <c r="T137" s="1142"/>
      <c r="U137" s="1142"/>
      <c r="V137" s="1142"/>
      <c r="W137" s="1142"/>
      <c r="X137" s="1142"/>
      <c r="Y137" s="1142"/>
      <c r="Z137" s="1142"/>
      <c r="AA137" s="1142"/>
      <c r="AB137" s="1142"/>
      <c r="AC137" s="1142"/>
      <c r="AD137" s="1142"/>
      <c r="AE137" s="1142"/>
      <c r="AF137" s="1142"/>
      <c r="AG137" s="1142"/>
      <c r="AH137" s="1142"/>
      <c r="AI137" s="194"/>
    </row>
    <row r="138" spans="1:35" ht="15.75" customHeight="1">
      <c r="A138" s="300"/>
      <c r="B138" s="799">
        <v>3</v>
      </c>
      <c r="C138" s="1127" t="s">
        <v>3354</v>
      </c>
      <c r="D138" s="1127"/>
      <c r="E138" s="1127"/>
      <c r="F138" s="1127"/>
      <c r="G138" s="1127"/>
      <c r="H138" s="1128"/>
      <c r="I138" s="1136"/>
      <c r="J138" s="1137"/>
      <c r="K138" s="1137"/>
      <c r="L138" s="1137"/>
      <c r="M138" s="1137"/>
      <c r="N138" s="1137"/>
      <c r="O138" s="1137"/>
      <c r="P138" s="1137"/>
      <c r="Q138" s="1137"/>
      <c r="R138" s="1137"/>
      <c r="S138" s="1137"/>
      <c r="T138" s="1137"/>
      <c r="U138" s="1137"/>
      <c r="V138" s="1137"/>
      <c r="W138" s="1137"/>
      <c r="X138" s="1137"/>
      <c r="Y138" s="1137"/>
      <c r="Z138" s="1137"/>
      <c r="AA138" s="1137"/>
      <c r="AB138" s="1137"/>
      <c r="AC138" s="1137"/>
      <c r="AD138" s="1137"/>
      <c r="AE138" s="1137"/>
      <c r="AF138" s="1137"/>
      <c r="AG138" s="1137"/>
      <c r="AH138" s="1137"/>
      <c r="AI138" s="1138"/>
    </row>
    <row r="139" spans="1:35" ht="15.75" customHeight="1">
      <c r="A139" s="299"/>
      <c r="B139" s="1103"/>
      <c r="C139" s="1129"/>
      <c r="D139" s="1129"/>
      <c r="E139" s="1129"/>
      <c r="F139" s="1129"/>
      <c r="G139" s="1129"/>
      <c r="H139" s="1130"/>
      <c r="I139" s="1139"/>
      <c r="J139" s="1140"/>
      <c r="K139" s="1140"/>
      <c r="L139" s="1140"/>
      <c r="M139" s="1140"/>
      <c r="N139" s="1140"/>
      <c r="O139" s="1140"/>
      <c r="P139" s="1140"/>
      <c r="Q139" s="1140"/>
      <c r="R139" s="1140"/>
      <c r="S139" s="1140"/>
      <c r="U139" s="279" t="s">
        <v>3341</v>
      </c>
      <c r="V139" s="1140"/>
      <c r="W139" s="1140"/>
      <c r="X139" s="1140"/>
      <c r="Y139" s="1140"/>
      <c r="Z139" s="1140"/>
      <c r="AA139" s="1140"/>
      <c r="AB139" s="1140"/>
      <c r="AC139" s="1140"/>
      <c r="AD139" s="1140"/>
      <c r="AE139" s="1140"/>
      <c r="AF139" s="1140"/>
      <c r="AG139" s="1140"/>
      <c r="AH139" s="1140"/>
      <c r="AI139" s="191"/>
    </row>
    <row r="140" spans="1:35" ht="15.75" customHeight="1">
      <c r="A140" s="299"/>
      <c r="B140" s="1103"/>
      <c r="C140" s="1129"/>
      <c r="D140" s="1129"/>
      <c r="E140" s="1129"/>
      <c r="F140" s="1129"/>
      <c r="G140" s="1129"/>
      <c r="H140" s="1130"/>
      <c r="I140" s="299"/>
      <c r="L140" s="279" t="s">
        <v>3355</v>
      </c>
      <c r="M140" s="1102" t="s">
        <v>3356</v>
      </c>
      <c r="N140" s="1102"/>
      <c r="O140" s="302" t="s">
        <v>3357</v>
      </c>
      <c r="P140" s="1088"/>
      <c r="Q140" s="1088"/>
      <c r="R140" s="1088"/>
      <c r="S140" s="16" t="s">
        <v>2913</v>
      </c>
      <c r="T140" s="249" t="s">
        <v>2947</v>
      </c>
      <c r="U140" s="1088"/>
      <c r="V140" s="1088"/>
      <c r="W140" s="1088"/>
      <c r="X140" s="1088"/>
      <c r="Y140" s="1088"/>
      <c r="Z140" s="1088"/>
      <c r="AA140" s="1088"/>
      <c r="AB140" s="249" t="s">
        <v>2849</v>
      </c>
      <c r="AI140" s="191"/>
    </row>
    <row r="141" spans="1:35" ht="15.75" customHeight="1">
      <c r="A141" s="301"/>
      <c r="B141" s="1092"/>
      <c r="C141" s="1131"/>
      <c r="D141" s="1131"/>
      <c r="E141" s="1131"/>
      <c r="F141" s="1131"/>
      <c r="G141" s="1131"/>
      <c r="H141" s="1132"/>
      <c r="I141" s="301"/>
      <c r="J141" s="193"/>
      <c r="K141" s="193"/>
      <c r="L141" s="193"/>
      <c r="M141" s="193"/>
      <c r="N141" s="193"/>
      <c r="O141" s="193"/>
      <c r="P141" s="193"/>
      <c r="Q141" s="193"/>
      <c r="R141" s="193"/>
      <c r="S141" s="193"/>
      <c r="T141" s="193"/>
      <c r="U141" s="193"/>
      <c r="V141" s="193"/>
      <c r="W141" s="193"/>
      <c r="X141" s="278" t="s">
        <v>3358</v>
      </c>
      <c r="Y141" s="1134" t="s">
        <v>3359</v>
      </c>
      <c r="Z141" s="1134"/>
      <c r="AA141" s="1134"/>
      <c r="AB141" s="1134"/>
      <c r="AC141" s="1134"/>
      <c r="AD141" s="1134"/>
      <c r="AE141" s="1134"/>
      <c r="AF141" s="1134"/>
      <c r="AG141" s="1134"/>
      <c r="AH141" s="1134"/>
      <c r="AI141" s="1135"/>
    </row>
    <row r="142" spans="1:35" ht="15" customHeight="1">
      <c r="A142" s="300"/>
      <c r="B142" s="799">
        <v>4</v>
      </c>
      <c r="C142" s="1127" t="s">
        <v>3360</v>
      </c>
      <c r="D142" s="1127"/>
      <c r="E142" s="1127"/>
      <c r="F142" s="1127"/>
      <c r="G142" s="1127"/>
      <c r="H142" s="1128"/>
      <c r="I142" s="1136"/>
      <c r="J142" s="1137"/>
      <c r="K142" s="1137"/>
      <c r="L142" s="1137"/>
      <c r="M142" s="1137"/>
      <c r="N142" s="1137"/>
      <c r="O142" s="1137"/>
      <c r="P142" s="1137"/>
      <c r="Q142" s="1137"/>
      <c r="R142" s="1137"/>
      <c r="S142" s="1137"/>
      <c r="T142" s="1137"/>
      <c r="U142" s="1137"/>
      <c r="V142" s="1137"/>
      <c r="W142" s="1137"/>
      <c r="X142" s="1137"/>
      <c r="Y142" s="1137"/>
      <c r="Z142" s="1137"/>
      <c r="AA142" s="1137"/>
      <c r="AB142" s="1137"/>
      <c r="AC142" s="1137"/>
      <c r="AD142" s="1137"/>
      <c r="AE142" s="1137"/>
      <c r="AF142" s="1137"/>
      <c r="AG142" s="1137"/>
      <c r="AH142" s="1137"/>
      <c r="AI142" s="1138"/>
    </row>
    <row r="143" spans="1:35" ht="15" customHeight="1">
      <c r="A143" s="299"/>
      <c r="B143" s="1103"/>
      <c r="C143" s="1129"/>
      <c r="D143" s="1129"/>
      <c r="E143" s="1129"/>
      <c r="F143" s="1129"/>
      <c r="G143" s="1129"/>
      <c r="H143" s="1130"/>
      <c r="I143" s="1139"/>
      <c r="J143" s="1140"/>
      <c r="K143" s="1140"/>
      <c r="L143" s="1140"/>
      <c r="M143" s="1140"/>
      <c r="N143" s="1140"/>
      <c r="O143" s="1140"/>
      <c r="P143" s="1140"/>
      <c r="Q143" s="1140"/>
      <c r="R143" s="1140"/>
      <c r="S143" s="1140"/>
      <c r="U143" s="279" t="s">
        <v>3341</v>
      </c>
      <c r="V143" s="1140"/>
      <c r="W143" s="1140"/>
      <c r="X143" s="1140"/>
      <c r="Y143" s="1140"/>
      <c r="Z143" s="1140"/>
      <c r="AA143" s="1140"/>
      <c r="AB143" s="1140"/>
      <c r="AC143" s="1140"/>
      <c r="AD143" s="1140"/>
      <c r="AE143" s="1140"/>
      <c r="AF143" s="1140"/>
      <c r="AG143" s="1140"/>
      <c r="AH143" s="1140"/>
      <c r="AI143" s="191"/>
    </row>
    <row r="144" spans="1:35" ht="15" customHeight="1">
      <c r="A144" s="301"/>
      <c r="B144" s="1092"/>
      <c r="C144" s="1131"/>
      <c r="D144" s="1131"/>
      <c r="E144" s="1131"/>
      <c r="F144" s="1131"/>
      <c r="G144" s="1131"/>
      <c r="H144" s="1132"/>
      <c r="I144" s="306" t="s">
        <v>2947</v>
      </c>
      <c r="J144" s="1134"/>
      <c r="K144" s="1134"/>
      <c r="L144" s="1134"/>
      <c r="M144" s="1134"/>
      <c r="N144" s="1134"/>
      <c r="O144" s="1134"/>
      <c r="P144" s="1134"/>
      <c r="Q144" s="193" t="s">
        <v>2849</v>
      </c>
      <c r="R144" s="193"/>
      <c r="S144" s="193"/>
      <c r="T144" s="193"/>
      <c r="U144" s="193"/>
      <c r="V144" s="193"/>
      <c r="W144" s="193"/>
      <c r="X144" s="278" t="s">
        <v>3361</v>
      </c>
      <c r="Y144" s="1134" t="s">
        <v>3359</v>
      </c>
      <c r="Z144" s="1134"/>
      <c r="AA144" s="1134"/>
      <c r="AB144" s="1134"/>
      <c r="AC144" s="1134"/>
      <c r="AD144" s="1134"/>
      <c r="AE144" s="1134"/>
      <c r="AF144" s="1134"/>
      <c r="AG144" s="1134"/>
      <c r="AH144" s="1134"/>
      <c r="AI144" s="1135"/>
    </row>
    <row r="145" spans="1:35" ht="15.95" customHeight="1">
      <c r="A145" s="300"/>
      <c r="B145" s="799">
        <v>5</v>
      </c>
      <c r="C145" s="1127" t="s">
        <v>3362</v>
      </c>
      <c r="D145" s="799"/>
      <c r="E145" s="799"/>
      <c r="F145" s="799"/>
      <c r="G145" s="799"/>
      <c r="H145" s="1087"/>
      <c r="I145" s="748" t="s">
        <v>3363</v>
      </c>
      <c r="J145" s="748"/>
      <c r="K145" s="1137"/>
      <c r="L145" s="1137"/>
      <c r="M145" s="1137"/>
      <c r="N145" s="1137"/>
      <c r="O145" s="1137"/>
      <c r="P145" s="1137"/>
      <c r="Q145" s="1137"/>
      <c r="R145" s="748" t="s">
        <v>3364</v>
      </c>
      <c r="S145" s="748"/>
      <c r="T145" s="748"/>
      <c r="U145" s="748"/>
      <c r="V145" s="748"/>
      <c r="W145" s="748"/>
      <c r="X145" s="748"/>
      <c r="Y145" s="1149"/>
      <c r="Z145" s="1149"/>
      <c r="AA145" s="1149"/>
      <c r="AB145" s="1149"/>
      <c r="AC145" s="1149"/>
      <c r="AD145" s="1149"/>
      <c r="AE145" s="748" t="s">
        <v>3365</v>
      </c>
      <c r="AF145" s="748"/>
      <c r="AG145" s="748"/>
      <c r="AH145" s="748"/>
      <c r="AI145" s="750"/>
    </row>
    <row r="146" spans="1:35" ht="15.95" customHeight="1">
      <c r="A146" s="301"/>
      <c r="B146" s="1092"/>
      <c r="C146" s="1092"/>
      <c r="D146" s="1092"/>
      <c r="E146" s="1092"/>
      <c r="F146" s="1092"/>
      <c r="G146" s="1092"/>
      <c r="H146" s="1093"/>
      <c r="I146" s="193"/>
      <c r="J146" s="193"/>
      <c r="K146" s="1148"/>
      <c r="L146" s="1148"/>
      <c r="M146" s="1148"/>
      <c r="N146" s="1148"/>
      <c r="O146" s="1148"/>
      <c r="P146" s="1148"/>
      <c r="Q146" s="1148"/>
      <c r="R146" s="193"/>
      <c r="S146" s="193"/>
      <c r="T146" s="193"/>
      <c r="U146" s="193"/>
      <c r="V146" s="193"/>
      <c r="W146" s="193"/>
      <c r="X146" s="193"/>
      <c r="Y146" s="1134"/>
      <c r="Z146" s="1134"/>
      <c r="AA146" s="1134"/>
      <c r="AB146" s="1134"/>
      <c r="AC146" s="1134"/>
      <c r="AD146" s="1134"/>
      <c r="AE146" s="193" t="s">
        <v>3164</v>
      </c>
      <c r="AF146" s="193"/>
      <c r="AG146" s="193"/>
      <c r="AH146" s="193"/>
      <c r="AI146" s="194"/>
    </row>
    <row r="147" spans="1:35" ht="19.5" customHeight="1">
      <c r="A147" s="301"/>
      <c r="B147" s="274">
        <v>6</v>
      </c>
      <c r="C147" s="1092" t="s">
        <v>3366</v>
      </c>
      <c r="D147" s="1092"/>
      <c r="E147" s="1092"/>
      <c r="F147" s="1092"/>
      <c r="G147" s="1092"/>
      <c r="H147" s="1093"/>
      <c r="I147" s="1146"/>
      <c r="J147" s="1147"/>
      <c r="K147" s="1147"/>
      <c r="L147" s="1147"/>
      <c r="M147" s="1147"/>
      <c r="N147" s="1147"/>
      <c r="O147" s="1147"/>
      <c r="P147" s="1147"/>
      <c r="Q147" s="1147"/>
      <c r="R147" s="1147"/>
      <c r="S147" s="1147"/>
      <c r="T147" s="1147"/>
      <c r="U147" s="1147"/>
      <c r="V147" s="1147"/>
      <c r="W147" s="1147"/>
      <c r="X147" s="1147"/>
      <c r="Y147" s="1147"/>
      <c r="Z147" s="1147"/>
      <c r="AA147" s="1147"/>
      <c r="AB147" s="1147"/>
      <c r="AC147" s="1147"/>
      <c r="AD147" s="1147"/>
      <c r="AE147" s="1147"/>
      <c r="AF147" s="1147"/>
      <c r="AG147" s="1147"/>
      <c r="AH147" s="1147"/>
      <c r="AI147" s="1150"/>
    </row>
    <row r="148" spans="1:35" ht="15" customHeight="1">
      <c r="A148" s="300"/>
      <c r="B148" s="799">
        <v>7</v>
      </c>
      <c r="C148" s="799" t="s">
        <v>3367</v>
      </c>
      <c r="D148" s="799"/>
      <c r="E148" s="799"/>
      <c r="F148" s="799"/>
      <c r="G148" s="799"/>
      <c r="H148" s="1087"/>
      <c r="I148" s="308" t="s">
        <v>2832</v>
      </c>
      <c r="J148" s="16" t="s">
        <v>3368</v>
      </c>
      <c r="AI148" s="191"/>
    </row>
    <row r="149" spans="1:35" ht="15" customHeight="1">
      <c r="A149" s="299"/>
      <c r="B149" s="1103"/>
      <c r="C149" s="1103"/>
      <c r="D149" s="1103"/>
      <c r="E149" s="1103"/>
      <c r="F149" s="1103"/>
      <c r="G149" s="1103"/>
      <c r="H149" s="1143"/>
      <c r="I149" s="308" t="s">
        <v>2832</v>
      </c>
      <c r="J149" s="16" t="s">
        <v>3369</v>
      </c>
      <c r="AI149" s="191"/>
    </row>
    <row r="150" spans="1:35" ht="15" customHeight="1">
      <c r="A150" s="301"/>
      <c r="B150" s="1092"/>
      <c r="C150" s="1092"/>
      <c r="D150" s="1092"/>
      <c r="E150" s="1092"/>
      <c r="F150" s="1092"/>
      <c r="G150" s="1092"/>
      <c r="H150" s="1093"/>
      <c r="I150" s="301"/>
      <c r="J150" s="193" t="s">
        <v>3370</v>
      </c>
      <c r="K150" s="193"/>
      <c r="L150" s="193"/>
      <c r="M150" s="1134"/>
      <c r="N150" s="1134"/>
      <c r="O150" s="1134"/>
      <c r="P150" s="1134"/>
      <c r="Q150" s="1134"/>
      <c r="R150" s="1134"/>
      <c r="S150" s="1134"/>
      <c r="T150" s="1134"/>
      <c r="U150" s="1134"/>
      <c r="V150" s="193"/>
      <c r="W150" s="193"/>
      <c r="X150" s="278" t="s">
        <v>3371</v>
      </c>
      <c r="Y150" s="1134" t="s">
        <v>3359</v>
      </c>
      <c r="Z150" s="1134"/>
      <c r="AA150" s="1134"/>
      <c r="AB150" s="1134"/>
      <c r="AC150" s="1134"/>
      <c r="AD150" s="1134"/>
      <c r="AE150" s="1134"/>
      <c r="AF150" s="1134"/>
      <c r="AG150" s="1134"/>
      <c r="AH150" s="1134"/>
      <c r="AI150" s="1135"/>
    </row>
    <row r="151" spans="1:35" ht="15.6" customHeight="1">
      <c r="A151" s="301"/>
      <c r="B151" s="274">
        <v>8</v>
      </c>
      <c r="C151" s="1144" t="s">
        <v>3372</v>
      </c>
      <c r="D151" s="1144"/>
      <c r="E151" s="1144"/>
      <c r="F151" s="1144"/>
      <c r="G151" s="1144"/>
      <c r="H151" s="1145"/>
      <c r="I151" s="1146"/>
      <c r="J151" s="1147"/>
      <c r="K151" s="1147"/>
      <c r="L151" s="1147"/>
      <c r="M151" s="1147"/>
      <c r="N151" s="1147"/>
      <c r="O151" s="1147"/>
      <c r="P151" s="1147"/>
      <c r="Q151" s="1147"/>
      <c r="R151" s="1147"/>
      <c r="S151" s="1147"/>
      <c r="T151" s="1147"/>
      <c r="U151" s="1147"/>
      <c r="V151" s="1147"/>
      <c r="W151" s="1147"/>
      <c r="X151" s="1147"/>
      <c r="Y151" s="1147"/>
      <c r="Z151" s="1147"/>
      <c r="AA151" s="1147"/>
      <c r="AB151" s="1147"/>
      <c r="AC151" s="1147"/>
      <c r="AD151" s="1147"/>
      <c r="AE151" s="1147"/>
      <c r="AF151" s="1147"/>
      <c r="AG151" s="309"/>
      <c r="AH151" s="309"/>
      <c r="AI151" s="310" t="s">
        <v>3373</v>
      </c>
    </row>
    <row r="152" spans="1:35" ht="15" customHeight="1">
      <c r="A152" s="300"/>
      <c r="B152" s="799">
        <v>9</v>
      </c>
      <c r="C152" s="799" t="s">
        <v>3374</v>
      </c>
      <c r="D152" s="799"/>
      <c r="E152" s="799"/>
      <c r="F152" s="799"/>
      <c r="G152" s="799"/>
      <c r="H152" s="1087"/>
      <c r="I152" s="1157"/>
      <c r="J152" s="1158"/>
      <c r="K152" s="1158"/>
      <c r="L152" s="1158"/>
      <c r="M152" s="1158"/>
      <c r="N152" s="1158"/>
      <c r="O152" s="1158"/>
      <c r="P152" s="1158"/>
      <c r="Q152" s="1158"/>
      <c r="R152" s="1158"/>
      <c r="S152" s="1158"/>
      <c r="U152" s="279" t="s">
        <v>3375</v>
      </c>
      <c r="V152" s="1086" t="s">
        <v>3376</v>
      </c>
      <c r="W152" s="799"/>
      <c r="X152" s="799"/>
      <c r="Y152" s="799"/>
      <c r="Z152" s="799"/>
      <c r="AA152" s="1087"/>
      <c r="AB152" s="16" t="s">
        <v>3377</v>
      </c>
      <c r="AE152" s="1149"/>
      <c r="AF152" s="1149"/>
      <c r="AG152" s="1149"/>
      <c r="AH152" s="1149"/>
      <c r="AI152" s="1159"/>
    </row>
    <row r="153" spans="1:35" ht="15" customHeight="1">
      <c r="A153" s="301"/>
      <c r="B153" s="1092"/>
      <c r="C153" s="1092"/>
      <c r="D153" s="1092"/>
      <c r="E153" s="1092"/>
      <c r="F153" s="1092"/>
      <c r="G153" s="1092"/>
      <c r="H153" s="1093"/>
      <c r="I153" s="301" t="s">
        <v>3378</v>
      </c>
      <c r="J153" s="193"/>
      <c r="K153" s="193"/>
      <c r="L153" s="193"/>
      <c r="M153" s="1134"/>
      <c r="N153" s="1134"/>
      <c r="O153" s="1134"/>
      <c r="P153" s="1134"/>
      <c r="Q153" s="1134"/>
      <c r="R153" s="193"/>
      <c r="S153" s="193"/>
      <c r="U153" s="278" t="s">
        <v>3379</v>
      </c>
      <c r="V153" s="1091"/>
      <c r="W153" s="1092"/>
      <c r="X153" s="1092"/>
      <c r="Y153" s="1092"/>
      <c r="Z153" s="1092"/>
      <c r="AA153" s="1093"/>
      <c r="AB153" s="1160"/>
      <c r="AC153" s="1160"/>
      <c r="AD153" s="1160"/>
      <c r="AE153" s="193"/>
      <c r="AF153" s="193"/>
      <c r="AG153" s="193"/>
      <c r="AH153" s="193"/>
      <c r="AI153" s="311" t="s">
        <v>3380</v>
      </c>
    </row>
    <row r="154" spans="1:35" ht="14.45" customHeight="1">
      <c r="A154" s="300"/>
      <c r="B154" s="799">
        <v>11</v>
      </c>
      <c r="C154" s="1127" t="s">
        <v>3381</v>
      </c>
      <c r="D154" s="1127"/>
      <c r="E154" s="1127"/>
      <c r="F154" s="1127"/>
      <c r="G154" s="1127"/>
      <c r="H154" s="1128"/>
      <c r="I154" s="1151"/>
      <c r="J154" s="1152"/>
      <c r="K154" s="1152"/>
      <c r="L154" s="1152"/>
      <c r="M154" s="1152"/>
      <c r="N154" s="1152"/>
      <c r="O154" s="1152"/>
      <c r="P154" s="1152"/>
      <c r="Q154" s="1152"/>
      <c r="R154" s="1152"/>
      <c r="S154" s="1152"/>
      <c r="T154" s="1152"/>
      <c r="U154" s="1152"/>
      <c r="V154" s="1152"/>
      <c r="W154" s="1152"/>
      <c r="X154" s="1152"/>
      <c r="Y154" s="1152"/>
      <c r="Z154" s="1152"/>
      <c r="AA154" s="1152"/>
      <c r="AB154" s="1152"/>
      <c r="AC154" s="1152"/>
      <c r="AD154" s="1152"/>
      <c r="AE154" s="1152"/>
      <c r="AF154" s="1152"/>
      <c r="AG154" s="1152"/>
      <c r="AH154" s="1152"/>
      <c r="AI154" s="1153"/>
    </row>
    <row r="155" spans="1:35" ht="14.25" customHeight="1">
      <c r="A155" s="299"/>
      <c r="B155" s="1103"/>
      <c r="C155" s="1129"/>
      <c r="D155" s="1129"/>
      <c r="E155" s="1129"/>
      <c r="F155" s="1129"/>
      <c r="G155" s="1129"/>
      <c r="H155" s="1130"/>
      <c r="I155" s="1154"/>
      <c r="J155" s="1155"/>
      <c r="K155" s="1155"/>
      <c r="L155" s="1155"/>
      <c r="M155" s="1155"/>
      <c r="N155" s="1155"/>
      <c r="O155" s="1155"/>
      <c r="P155" s="1155"/>
      <c r="Q155" s="1155"/>
      <c r="R155" s="1155"/>
      <c r="S155" s="1155"/>
      <c r="T155" s="1155"/>
      <c r="U155" s="1155"/>
      <c r="V155" s="1155"/>
      <c r="W155" s="1155"/>
      <c r="X155" s="1155"/>
      <c r="Y155" s="1155"/>
      <c r="Z155" s="1155"/>
      <c r="AA155" s="1155"/>
      <c r="AB155" s="1155"/>
      <c r="AC155" s="1155"/>
      <c r="AD155" s="1155"/>
      <c r="AE155" s="1155"/>
      <c r="AF155" s="1155"/>
      <c r="AG155" s="1155"/>
      <c r="AH155" s="1155"/>
      <c r="AI155" s="1156"/>
    </row>
    <row r="156" spans="1:35" ht="14.45" customHeight="1">
      <c r="A156" s="301"/>
      <c r="B156" s="1092"/>
      <c r="C156" s="1131"/>
      <c r="D156" s="1131"/>
      <c r="E156" s="1131"/>
      <c r="F156" s="1131"/>
      <c r="G156" s="1131"/>
      <c r="H156" s="1132"/>
      <c r="I156" s="301"/>
      <c r="J156" s="193"/>
      <c r="K156" s="193"/>
      <c r="L156" s="193"/>
      <c r="M156" s="193"/>
      <c r="N156" s="193"/>
      <c r="O156" s="193"/>
      <c r="P156" s="193"/>
      <c r="Q156" s="193"/>
      <c r="R156" s="193"/>
      <c r="S156" s="193"/>
      <c r="T156" s="193"/>
      <c r="U156" s="193"/>
      <c r="V156" s="193"/>
      <c r="W156" s="193"/>
      <c r="X156" s="193" t="s">
        <v>3382</v>
      </c>
      <c r="Y156" s="193"/>
      <c r="Z156" s="193"/>
      <c r="AA156" s="193"/>
      <c r="AB156" s="193"/>
      <c r="AC156" s="1134"/>
      <c r="AD156" s="1134"/>
      <c r="AE156" s="1134"/>
      <c r="AF156" s="1134"/>
      <c r="AG156" s="1134"/>
      <c r="AH156" s="260" t="s">
        <v>3383</v>
      </c>
      <c r="AI156" s="194"/>
    </row>
    <row r="157" spans="1:35" ht="14.45" customHeight="1">
      <c r="A157" s="300"/>
      <c r="B157" s="799">
        <v>12</v>
      </c>
      <c r="C157" s="799" t="s">
        <v>3384</v>
      </c>
      <c r="D157" s="799"/>
      <c r="E157" s="799"/>
      <c r="F157" s="799"/>
      <c r="G157" s="799"/>
      <c r="H157" s="1087"/>
      <c r="I157" s="308" t="s">
        <v>2832</v>
      </c>
      <c r="J157" s="748" t="s">
        <v>3385</v>
      </c>
      <c r="K157" s="748"/>
      <c r="L157" s="748"/>
      <c r="M157" s="748"/>
      <c r="N157" s="748"/>
      <c r="O157" s="748"/>
      <c r="P157" s="748"/>
      <c r="Q157" s="748"/>
      <c r="R157" s="748"/>
      <c r="S157" s="748"/>
      <c r="T157" s="748"/>
      <c r="V157" s="1086" t="s">
        <v>3386</v>
      </c>
      <c r="W157" s="799"/>
      <c r="X157" s="799"/>
      <c r="Y157" s="799"/>
      <c r="Z157" s="799"/>
      <c r="AA157" s="1087"/>
      <c r="AB157" s="308" t="s">
        <v>2832</v>
      </c>
      <c r="AC157" s="748" t="s">
        <v>3387</v>
      </c>
      <c r="AD157" s="748"/>
      <c r="AE157" s="748"/>
      <c r="AF157" s="748"/>
      <c r="AG157" s="748"/>
      <c r="AH157" s="748"/>
      <c r="AI157" s="750"/>
    </row>
    <row r="158" spans="1:35" ht="14.45" customHeight="1">
      <c r="A158" s="301"/>
      <c r="B158" s="1092"/>
      <c r="C158" s="1092"/>
      <c r="D158" s="1092"/>
      <c r="E158" s="1092"/>
      <c r="F158" s="1092"/>
      <c r="G158" s="1092"/>
      <c r="H158" s="1093"/>
      <c r="I158" s="308" t="s">
        <v>2832</v>
      </c>
      <c r="J158" s="193" t="s">
        <v>1684</v>
      </c>
      <c r="K158" s="193"/>
      <c r="L158" s="278" t="s">
        <v>2912</v>
      </c>
      <c r="M158" s="1148"/>
      <c r="N158" s="1148"/>
      <c r="O158" s="1148"/>
      <c r="P158" s="1148"/>
      <c r="Q158" s="1148"/>
      <c r="R158" s="1148"/>
      <c r="S158" s="1148"/>
      <c r="T158" s="1148"/>
      <c r="U158" s="193" t="s">
        <v>2913</v>
      </c>
      <c r="V158" s="1091"/>
      <c r="W158" s="1092"/>
      <c r="X158" s="1092"/>
      <c r="Y158" s="1092"/>
      <c r="Z158" s="1092"/>
      <c r="AA158" s="1093"/>
      <c r="AB158" s="308" t="s">
        <v>2832</v>
      </c>
      <c r="AC158" s="193" t="s">
        <v>3388</v>
      </c>
      <c r="AD158" s="193"/>
      <c r="AE158" s="193"/>
      <c r="AF158" s="193"/>
      <c r="AG158" s="193"/>
      <c r="AH158" s="193"/>
      <c r="AI158" s="194"/>
    </row>
    <row r="159" spans="1:35" ht="15" customHeight="1">
      <c r="A159" s="299"/>
      <c r="B159" s="1103">
        <v>14</v>
      </c>
      <c r="C159" s="1129" t="s">
        <v>3389</v>
      </c>
      <c r="D159" s="1129"/>
      <c r="E159" s="1129"/>
      <c r="F159" s="1129"/>
      <c r="G159" s="1129"/>
      <c r="H159" s="1130"/>
      <c r="I159" s="312" t="s">
        <v>2832</v>
      </c>
      <c r="J159" s="748" t="s">
        <v>3390</v>
      </c>
      <c r="K159" s="748"/>
      <c r="L159" s="748"/>
      <c r="M159" s="748"/>
      <c r="N159" s="748"/>
      <c r="O159" s="748"/>
      <c r="P159" s="748"/>
      <c r="Q159" s="748"/>
      <c r="R159" s="748"/>
      <c r="S159" s="748"/>
      <c r="T159" s="748"/>
      <c r="U159" s="748"/>
      <c r="V159" s="748"/>
      <c r="W159" s="748"/>
      <c r="X159" s="748"/>
      <c r="Y159" s="748"/>
      <c r="Z159" s="748"/>
      <c r="AA159" s="748"/>
      <c r="AB159" s="748"/>
      <c r="AC159" s="748"/>
      <c r="AD159" s="748"/>
      <c r="AE159" s="748"/>
      <c r="AF159" s="748"/>
      <c r="AG159" s="748"/>
      <c r="AH159" s="748"/>
      <c r="AI159" s="750"/>
    </row>
    <row r="160" spans="1:35" ht="15" customHeight="1">
      <c r="A160" s="299"/>
      <c r="B160" s="1103"/>
      <c r="C160" s="1129"/>
      <c r="D160" s="1129"/>
      <c r="E160" s="1129"/>
      <c r="F160" s="1129"/>
      <c r="G160" s="1129"/>
      <c r="H160" s="1130"/>
      <c r="I160" s="308" t="s">
        <v>2832</v>
      </c>
      <c r="J160" s="16" t="s">
        <v>3391</v>
      </c>
      <c r="AI160" s="191"/>
    </row>
    <row r="161" spans="1:35" ht="15" customHeight="1">
      <c r="A161" s="299"/>
      <c r="B161" s="1103"/>
      <c r="C161" s="1129"/>
      <c r="D161" s="1129"/>
      <c r="E161" s="1129"/>
      <c r="F161" s="1129"/>
      <c r="G161" s="1129"/>
      <c r="H161" s="1130"/>
      <c r="I161" s="301"/>
      <c r="J161" s="193" t="s">
        <v>3392</v>
      </c>
      <c r="K161" s="193"/>
      <c r="L161" s="193"/>
      <c r="M161" s="193"/>
      <c r="N161" s="193"/>
      <c r="O161" s="193"/>
      <c r="P161" s="1134"/>
      <c r="Q161" s="1134"/>
      <c r="R161" s="1134"/>
      <c r="S161" s="1134"/>
      <c r="T161" s="1134"/>
      <c r="U161" s="1134"/>
      <c r="V161" s="1134"/>
      <c r="W161" s="1134"/>
      <c r="X161" s="193"/>
      <c r="Y161" s="193"/>
      <c r="Z161" s="193"/>
      <c r="AB161" s="278" t="s">
        <v>3393</v>
      </c>
      <c r="AC161" s="1134" t="s">
        <v>3394</v>
      </c>
      <c r="AD161" s="1134"/>
      <c r="AE161" s="1134"/>
      <c r="AF161" s="1134"/>
      <c r="AG161" s="1134"/>
      <c r="AH161" s="1134"/>
      <c r="AI161" s="1135"/>
    </row>
    <row r="162" spans="1:35" ht="28.5" customHeight="1">
      <c r="A162" s="313"/>
      <c r="B162" s="309">
        <v>15</v>
      </c>
      <c r="C162" s="1163" t="s">
        <v>3395</v>
      </c>
      <c r="D162" s="1163"/>
      <c r="E162" s="1163"/>
      <c r="F162" s="1163"/>
      <c r="G162" s="1163"/>
      <c r="H162" s="1164"/>
      <c r="I162" s="193" t="s">
        <v>3396</v>
      </c>
      <c r="J162" s="193"/>
      <c r="K162" s="193"/>
      <c r="L162" s="1147"/>
      <c r="M162" s="1147"/>
      <c r="N162" s="1147"/>
      <c r="O162" s="1147"/>
      <c r="P162" s="1147"/>
      <c r="Q162" s="1147"/>
      <c r="R162" s="1147"/>
      <c r="S162" s="1147"/>
      <c r="T162" s="1147"/>
      <c r="U162" s="1147"/>
      <c r="V162" s="1147"/>
      <c r="W162" s="1147"/>
      <c r="X162" s="1147"/>
      <c r="Y162" s="1147"/>
      <c r="Z162" s="1165" t="s">
        <v>3371</v>
      </c>
      <c r="AA162" s="1144"/>
      <c r="AB162" s="1144"/>
      <c r="AC162" s="1166" t="s">
        <v>3394</v>
      </c>
      <c r="AD162" s="1166"/>
      <c r="AE162" s="1166"/>
      <c r="AF162" s="1166"/>
      <c r="AG162" s="1166"/>
      <c r="AH162" s="1166"/>
      <c r="AI162" s="1167"/>
    </row>
    <row r="163" spans="1:35" ht="12.95" customHeight="1">
      <c r="B163" s="16" t="s">
        <v>2</v>
      </c>
    </row>
    <row r="164" spans="1:35" ht="12.95" customHeight="1">
      <c r="A164" s="192"/>
      <c r="B164" s="314">
        <v>1</v>
      </c>
      <c r="C164" s="192"/>
      <c r="D164" s="192" t="s">
        <v>3397</v>
      </c>
      <c r="E164" s="192"/>
    </row>
    <row r="165" spans="1:35" ht="12.95" customHeight="1">
      <c r="A165" s="192"/>
      <c r="B165" s="314">
        <v>2</v>
      </c>
      <c r="C165" s="192"/>
      <c r="D165" s="1162" t="s">
        <v>3408</v>
      </c>
      <c r="E165" s="1162"/>
      <c r="F165" s="1162"/>
      <c r="G165" s="1162"/>
      <c r="H165" s="1162"/>
      <c r="I165" s="1162"/>
      <c r="J165" s="1162"/>
      <c r="K165" s="1162"/>
      <c r="L165" s="1162"/>
      <c r="M165" s="1162"/>
      <c r="N165" s="1162"/>
      <c r="O165" s="1162"/>
      <c r="P165" s="1162"/>
      <c r="Q165" s="1162"/>
      <c r="R165" s="1162"/>
      <c r="S165" s="1162"/>
      <c r="T165" s="1162"/>
      <c r="U165" s="1162"/>
      <c r="V165" s="1162"/>
      <c r="W165" s="1162"/>
      <c r="X165" s="1162"/>
      <c r="Y165" s="1162"/>
      <c r="Z165" s="1162"/>
      <c r="AA165" s="1162"/>
      <c r="AB165" s="1162"/>
      <c r="AC165" s="1162"/>
      <c r="AD165" s="1162"/>
      <c r="AE165" s="1162"/>
      <c r="AF165" s="1162"/>
      <c r="AG165" s="1162"/>
      <c r="AH165" s="1162"/>
      <c r="AI165" s="1162"/>
    </row>
    <row r="166" spans="1:35" ht="12.95" customHeight="1">
      <c r="A166" s="192"/>
      <c r="B166" s="314"/>
      <c r="C166" s="192"/>
      <c r="D166" s="1162"/>
      <c r="E166" s="1162"/>
      <c r="F166" s="1162"/>
      <c r="G166" s="1162"/>
      <c r="H166" s="1162"/>
      <c r="I166" s="1162"/>
      <c r="J166" s="1162"/>
      <c r="K166" s="1162"/>
      <c r="L166" s="1162"/>
      <c r="M166" s="1162"/>
      <c r="N166" s="1162"/>
      <c r="O166" s="1162"/>
      <c r="P166" s="1162"/>
      <c r="Q166" s="1162"/>
      <c r="R166" s="1162"/>
      <c r="S166" s="1162"/>
      <c r="T166" s="1162"/>
      <c r="U166" s="1162"/>
      <c r="V166" s="1162"/>
      <c r="W166" s="1162"/>
      <c r="X166" s="1162"/>
      <c r="Y166" s="1162"/>
      <c r="Z166" s="1162"/>
      <c r="AA166" s="1162"/>
      <c r="AB166" s="1162"/>
      <c r="AC166" s="1162"/>
      <c r="AD166" s="1162"/>
      <c r="AE166" s="1162"/>
      <c r="AF166" s="1162"/>
      <c r="AG166" s="1162"/>
      <c r="AH166" s="1162"/>
      <c r="AI166" s="1162"/>
    </row>
    <row r="167" spans="1:35" ht="12.95" customHeight="1">
      <c r="A167" s="192"/>
      <c r="B167" s="314">
        <v>3</v>
      </c>
      <c r="C167" s="192"/>
      <c r="D167" s="1162" t="s">
        <v>3399</v>
      </c>
      <c r="E167" s="1162"/>
      <c r="F167" s="1162"/>
      <c r="G167" s="1162"/>
      <c r="H167" s="1162"/>
      <c r="I167" s="1162"/>
      <c r="J167" s="1162"/>
      <c r="K167" s="1162"/>
      <c r="L167" s="1162"/>
      <c r="M167" s="1162"/>
      <c r="N167" s="1162"/>
      <c r="O167" s="1162"/>
      <c r="P167" s="1162"/>
      <c r="Q167" s="1162"/>
      <c r="R167" s="1162"/>
      <c r="S167" s="1162"/>
      <c r="T167" s="1162"/>
      <c r="U167" s="1162"/>
      <c r="V167" s="1162"/>
      <c r="W167" s="1162"/>
      <c r="X167" s="1162"/>
      <c r="Y167" s="1162"/>
      <c r="Z167" s="1162"/>
      <c r="AA167" s="1162"/>
      <c r="AB167" s="1162"/>
      <c r="AC167" s="1162"/>
      <c r="AD167" s="1162"/>
      <c r="AE167" s="1162"/>
      <c r="AF167" s="1162"/>
      <c r="AG167" s="1162"/>
      <c r="AH167" s="1162"/>
      <c r="AI167" s="1162"/>
    </row>
    <row r="168" spans="1:35" ht="12.95" customHeight="1">
      <c r="D168" s="1162"/>
      <c r="E168" s="1162"/>
      <c r="F168" s="1162"/>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row>
    <row r="169" spans="1:35" ht="3.95" customHeight="1">
      <c r="A169" s="300"/>
      <c r="B169" s="748"/>
      <c r="C169" s="748"/>
      <c r="D169" s="748"/>
      <c r="E169" s="748"/>
      <c r="F169" s="748"/>
      <c r="G169" s="748"/>
      <c r="H169" s="748"/>
      <c r="I169" s="748"/>
      <c r="J169" s="748"/>
      <c r="K169" s="748"/>
      <c r="L169" s="748"/>
      <c r="M169" s="748"/>
      <c r="N169" s="748"/>
      <c r="O169" s="748"/>
      <c r="P169" s="748"/>
      <c r="Q169" s="748"/>
      <c r="R169" s="748"/>
      <c r="S169" s="748"/>
      <c r="T169" s="748"/>
      <c r="U169" s="748"/>
      <c r="V169" s="748"/>
      <c r="W169" s="748"/>
      <c r="X169" s="748"/>
      <c r="Y169" s="748"/>
      <c r="Z169" s="748"/>
      <c r="AA169" s="748"/>
      <c r="AB169" s="748"/>
      <c r="AC169" s="748"/>
      <c r="AD169" s="748"/>
      <c r="AE169" s="748"/>
      <c r="AF169" s="748"/>
      <c r="AG169" s="748"/>
      <c r="AH169" s="748"/>
      <c r="AI169" s="750"/>
    </row>
    <row r="170" spans="1:35" ht="11.25" customHeight="1">
      <c r="A170" s="299"/>
      <c r="B170" s="16" t="s">
        <v>3409</v>
      </c>
      <c r="AI170" s="191"/>
    </row>
    <row r="171" spans="1:35" ht="11.25" customHeight="1">
      <c r="A171" s="299"/>
      <c r="AI171" s="191"/>
    </row>
    <row r="172" spans="1:35" ht="11.25" customHeight="1">
      <c r="A172" s="299"/>
      <c r="AI172" s="191"/>
    </row>
    <row r="173" spans="1:35" ht="11.25" customHeight="1">
      <c r="A173" s="299"/>
      <c r="AI173" s="191"/>
    </row>
    <row r="174" spans="1:35" ht="11.25" customHeight="1">
      <c r="A174" s="299"/>
      <c r="AI174" s="191"/>
    </row>
    <row r="175" spans="1:35" ht="11.25" customHeight="1">
      <c r="A175" s="299"/>
      <c r="AI175" s="191"/>
    </row>
    <row r="176" spans="1:35" ht="11.25" customHeight="1">
      <c r="A176" s="299"/>
      <c r="AI176" s="191"/>
    </row>
    <row r="177" spans="1:35" ht="11.25" customHeight="1">
      <c r="A177" s="299"/>
      <c r="AI177" s="191"/>
    </row>
    <row r="178" spans="1:35" ht="11.25" customHeight="1">
      <c r="A178" s="299"/>
      <c r="AI178" s="191"/>
    </row>
    <row r="179" spans="1:35" ht="11.25" customHeight="1">
      <c r="A179" s="299"/>
      <c r="AI179" s="191"/>
    </row>
    <row r="180" spans="1:35" ht="11.25" customHeight="1">
      <c r="A180" s="299"/>
      <c r="AI180" s="191"/>
    </row>
    <row r="181" spans="1:35" ht="11.25" customHeight="1">
      <c r="A181" s="299"/>
      <c r="AI181" s="191"/>
    </row>
    <row r="182" spans="1:35" ht="11.25" customHeight="1">
      <c r="A182" s="299"/>
      <c r="AI182" s="191"/>
    </row>
    <row r="183" spans="1:35" ht="11.25" customHeight="1">
      <c r="A183" s="299"/>
      <c r="AI183" s="191"/>
    </row>
    <row r="184" spans="1:35" ht="11.25" customHeight="1">
      <c r="A184" s="299"/>
      <c r="AI184" s="191"/>
    </row>
    <row r="185" spans="1:35" ht="11.25" customHeight="1">
      <c r="A185" s="299"/>
      <c r="AI185" s="191"/>
    </row>
    <row r="186" spans="1:35" ht="11.25" customHeight="1">
      <c r="A186" s="299"/>
      <c r="AI186" s="191"/>
    </row>
    <row r="187" spans="1:35" ht="11.25" customHeight="1">
      <c r="A187" s="299"/>
      <c r="AI187" s="191"/>
    </row>
    <row r="188" spans="1:35" ht="11.25" customHeight="1">
      <c r="A188" s="299"/>
      <c r="AI188" s="191"/>
    </row>
    <row r="189" spans="1:35" ht="11.25" customHeight="1">
      <c r="A189" s="299"/>
      <c r="AI189" s="191"/>
    </row>
    <row r="190" spans="1:35" ht="11.25" customHeight="1">
      <c r="A190" s="299"/>
      <c r="AI190" s="191"/>
    </row>
    <row r="191" spans="1:35" ht="11.25" customHeight="1">
      <c r="A191" s="299"/>
      <c r="AI191" s="191"/>
    </row>
    <row r="192" spans="1:35" ht="11.25" customHeight="1">
      <c r="A192" s="299"/>
      <c r="AI192" s="191"/>
    </row>
    <row r="193" spans="1:35" ht="11.25" customHeight="1">
      <c r="A193" s="299"/>
      <c r="AI193" s="191"/>
    </row>
    <row r="194" spans="1:35" ht="11.25" customHeight="1">
      <c r="A194" s="299"/>
      <c r="AI194" s="191"/>
    </row>
    <row r="195" spans="1:35" ht="11.25" customHeight="1">
      <c r="A195" s="299"/>
      <c r="AI195" s="191"/>
    </row>
    <row r="196" spans="1:35" ht="11.25" customHeight="1">
      <c r="A196" s="299"/>
      <c r="AI196" s="191"/>
    </row>
    <row r="197" spans="1:35" ht="11.25" customHeight="1">
      <c r="A197" s="299"/>
      <c r="AI197" s="191"/>
    </row>
    <row r="198" spans="1:35" ht="11.25" customHeight="1">
      <c r="A198" s="299"/>
      <c r="AI198" s="191"/>
    </row>
    <row r="199" spans="1:35" ht="11.25" customHeight="1">
      <c r="A199" s="299"/>
      <c r="AI199" s="191"/>
    </row>
    <row r="200" spans="1:35" ht="11.25" customHeight="1">
      <c r="A200" s="299"/>
      <c r="AI200" s="191"/>
    </row>
    <row r="201" spans="1:35" ht="11.25" customHeight="1">
      <c r="A201" s="299"/>
      <c r="AI201" s="191"/>
    </row>
    <row r="202" spans="1:35" ht="3.95" customHeight="1">
      <c r="A202" s="300"/>
      <c r="B202" s="748"/>
      <c r="C202" s="748"/>
      <c r="D202" s="748"/>
      <c r="E202" s="748"/>
      <c r="F202" s="748"/>
      <c r="G202" s="748"/>
      <c r="H202" s="748"/>
      <c r="I202" s="748"/>
      <c r="J202" s="748"/>
      <c r="K202" s="748"/>
      <c r="L202" s="748"/>
      <c r="M202" s="748"/>
      <c r="N202" s="748"/>
      <c r="O202" s="748"/>
      <c r="P202" s="748"/>
      <c r="Q202" s="748"/>
      <c r="R202" s="748"/>
      <c r="S202" s="748"/>
      <c r="T202" s="748"/>
      <c r="U202" s="748"/>
      <c r="V202" s="748"/>
      <c r="W202" s="748"/>
      <c r="X202" s="748"/>
      <c r="Y202" s="748"/>
      <c r="Z202" s="748"/>
      <c r="AA202" s="748"/>
      <c r="AB202" s="748"/>
      <c r="AC202" s="748"/>
      <c r="AD202" s="748"/>
      <c r="AE202" s="748"/>
      <c r="AF202" s="748"/>
      <c r="AG202" s="748"/>
      <c r="AH202" s="748"/>
      <c r="AI202" s="750"/>
    </row>
    <row r="203" spans="1:35" ht="11.25" customHeight="1">
      <c r="A203" s="299"/>
      <c r="B203" s="16" t="s">
        <v>3410</v>
      </c>
      <c r="AI203" s="191"/>
    </row>
    <row r="204" spans="1:35" ht="11.25" customHeight="1">
      <c r="A204" s="299"/>
      <c r="AI204" s="191"/>
    </row>
    <row r="205" spans="1:35" ht="11.25" customHeight="1">
      <c r="A205" s="299"/>
      <c r="AI205" s="191"/>
    </row>
    <row r="206" spans="1:35" ht="11.25" customHeight="1">
      <c r="A206" s="299"/>
      <c r="AI206" s="191"/>
    </row>
    <row r="207" spans="1:35" ht="11.25" customHeight="1">
      <c r="A207" s="299"/>
      <c r="AI207" s="191"/>
    </row>
    <row r="208" spans="1:35" ht="11.25" customHeight="1">
      <c r="A208" s="299"/>
      <c r="AI208" s="191"/>
    </row>
    <row r="209" spans="1:35" ht="11.25" customHeight="1">
      <c r="A209" s="299"/>
      <c r="AI209" s="191"/>
    </row>
    <row r="210" spans="1:35" ht="11.25" customHeight="1">
      <c r="A210" s="299"/>
      <c r="AI210" s="191"/>
    </row>
    <row r="211" spans="1:35" ht="11.25" customHeight="1">
      <c r="A211" s="299"/>
      <c r="AI211" s="191"/>
    </row>
    <row r="212" spans="1:35" ht="11.25" customHeight="1">
      <c r="A212" s="299"/>
      <c r="AI212" s="191"/>
    </row>
    <row r="213" spans="1:35" ht="11.25" customHeight="1">
      <c r="A213" s="299"/>
      <c r="AI213" s="191"/>
    </row>
    <row r="214" spans="1:35" ht="11.25" customHeight="1">
      <c r="A214" s="299"/>
      <c r="AI214" s="191"/>
    </row>
    <row r="215" spans="1:35" ht="11.25" customHeight="1">
      <c r="A215" s="299"/>
      <c r="AI215" s="191"/>
    </row>
    <row r="216" spans="1:35" ht="11.25" customHeight="1">
      <c r="A216" s="299"/>
      <c r="AI216" s="191"/>
    </row>
    <row r="217" spans="1:35" ht="11.25" customHeight="1">
      <c r="A217" s="299"/>
      <c r="AI217" s="191"/>
    </row>
    <row r="218" spans="1:35" ht="11.25" customHeight="1">
      <c r="A218" s="299"/>
      <c r="AI218" s="191"/>
    </row>
    <row r="219" spans="1:35" ht="11.25" customHeight="1">
      <c r="A219" s="299"/>
      <c r="AI219" s="191"/>
    </row>
    <row r="220" spans="1:35" ht="11.25" customHeight="1">
      <c r="A220" s="299"/>
      <c r="AI220" s="191"/>
    </row>
    <row r="221" spans="1:35" ht="11.25" customHeight="1">
      <c r="A221" s="299"/>
      <c r="AI221" s="191"/>
    </row>
    <row r="222" spans="1:35" ht="11.25" customHeight="1">
      <c r="A222" s="299"/>
      <c r="AI222" s="191"/>
    </row>
    <row r="223" spans="1:35" ht="11.25" customHeight="1">
      <c r="A223" s="299"/>
      <c r="AI223" s="191"/>
    </row>
    <row r="224" spans="1:35" ht="11.25" customHeight="1">
      <c r="A224" s="299"/>
      <c r="AI224" s="191"/>
    </row>
    <row r="225" spans="1:35" ht="11.25" customHeight="1">
      <c r="A225" s="299"/>
      <c r="AI225" s="191"/>
    </row>
    <row r="226" spans="1:35" ht="11.25" customHeight="1">
      <c r="A226" s="299"/>
      <c r="AI226" s="191"/>
    </row>
    <row r="227" spans="1:35" ht="11.25" customHeight="1">
      <c r="A227" s="299"/>
      <c r="AI227" s="191"/>
    </row>
    <row r="228" spans="1:35" ht="11.25" customHeight="1">
      <c r="A228" s="299"/>
      <c r="AI228" s="191"/>
    </row>
    <row r="229" spans="1:35" ht="11.25" customHeight="1">
      <c r="A229" s="299"/>
      <c r="AI229" s="191"/>
    </row>
    <row r="230" spans="1:35" ht="11.25" customHeight="1">
      <c r="A230" s="299"/>
      <c r="AI230" s="191"/>
    </row>
    <row r="231" spans="1:35" ht="11.25" customHeight="1">
      <c r="A231" s="299"/>
      <c r="AI231" s="191"/>
    </row>
    <row r="232" spans="1:35" ht="11.25" customHeight="1">
      <c r="A232" s="299"/>
      <c r="AI232" s="191"/>
    </row>
    <row r="233" spans="1:35" ht="11.25" customHeight="1">
      <c r="A233" s="299"/>
      <c r="AI233" s="191"/>
    </row>
    <row r="234" spans="1:35" ht="11.25" customHeight="1">
      <c r="A234" s="301"/>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c r="AA234" s="193"/>
      <c r="AB234" s="193"/>
      <c r="AC234" s="193"/>
      <c r="AD234" s="193"/>
      <c r="AE234" s="193"/>
      <c r="AF234" s="193"/>
      <c r="AG234" s="193"/>
      <c r="AH234" s="193"/>
      <c r="AI234" s="194"/>
    </row>
  </sheetData>
  <mergeCells count="268">
    <mergeCell ref="D165:AI166"/>
    <mergeCell ref="D167:AI168"/>
    <mergeCell ref="B159:B161"/>
    <mergeCell ref="C159:H161"/>
    <mergeCell ref="P161:W161"/>
    <mergeCell ref="AC161:AI161"/>
    <mergeCell ref="C162:H162"/>
    <mergeCell ref="L162:Y162"/>
    <mergeCell ref="Z162:AB162"/>
    <mergeCell ref="AC162:AI162"/>
    <mergeCell ref="B154:B156"/>
    <mergeCell ref="C154:H156"/>
    <mergeCell ref="I154:AI155"/>
    <mergeCell ref="AC156:AG156"/>
    <mergeCell ref="B157:B158"/>
    <mergeCell ref="C157:H158"/>
    <mergeCell ref="V157:AA158"/>
    <mergeCell ref="M158:T158"/>
    <mergeCell ref="B152:B153"/>
    <mergeCell ref="C152:H153"/>
    <mergeCell ref="I152:S152"/>
    <mergeCell ref="V152:AA153"/>
    <mergeCell ref="AE152:AI152"/>
    <mergeCell ref="M153:Q153"/>
    <mergeCell ref="AB153:AD153"/>
    <mergeCell ref="C151:H151"/>
    <mergeCell ref="I151:AF151"/>
    <mergeCell ref="B145:B146"/>
    <mergeCell ref="C145:H146"/>
    <mergeCell ref="K145:Q146"/>
    <mergeCell ref="Y145:AD145"/>
    <mergeCell ref="Y146:AD146"/>
    <mergeCell ref="C147:H147"/>
    <mergeCell ref="I147:AI147"/>
    <mergeCell ref="B142:B144"/>
    <mergeCell ref="C142:H144"/>
    <mergeCell ref="I142:AI142"/>
    <mergeCell ref="I143:S143"/>
    <mergeCell ref="V143:AH143"/>
    <mergeCell ref="J144:P144"/>
    <mergeCell ref="Y144:AI144"/>
    <mergeCell ref="B148:B150"/>
    <mergeCell ref="C148:H150"/>
    <mergeCell ref="M150:U150"/>
    <mergeCell ref="Y150:AI150"/>
    <mergeCell ref="B138:B141"/>
    <mergeCell ref="C138:H141"/>
    <mergeCell ref="I138:AI138"/>
    <mergeCell ref="I139:S139"/>
    <mergeCell ref="V139:AH139"/>
    <mergeCell ref="M140:N140"/>
    <mergeCell ref="P140:R140"/>
    <mergeCell ref="U140:AA140"/>
    <mergeCell ref="Y141:AI141"/>
    <mergeCell ref="I133:AH133"/>
    <mergeCell ref="K134:M134"/>
    <mergeCell ref="N134:R134"/>
    <mergeCell ref="S134:W134"/>
    <mergeCell ref="X134:AA134"/>
    <mergeCell ref="AB134:AG134"/>
    <mergeCell ref="B128:B131"/>
    <mergeCell ref="C128:H131"/>
    <mergeCell ref="I128:AI131"/>
    <mergeCell ref="B132:B137"/>
    <mergeCell ref="C132:H137"/>
    <mergeCell ref="K132:M132"/>
    <mergeCell ref="N132:P132"/>
    <mergeCell ref="R132:V132"/>
    <mergeCell ref="W132:Y132"/>
    <mergeCell ref="Z132:AE132"/>
    <mergeCell ref="I135:AH135"/>
    <mergeCell ref="I136:AH136"/>
    <mergeCell ref="I137:AH137"/>
    <mergeCell ref="D124:P125"/>
    <mergeCell ref="W124:AI124"/>
    <mergeCell ref="B126:H127"/>
    <mergeCell ref="Z126:AI127"/>
    <mergeCell ref="I119:Q122"/>
    <mergeCell ref="W119:AI119"/>
    <mergeCell ref="W120:AI120"/>
    <mergeCell ref="W121:AI121"/>
    <mergeCell ref="W122:AI122"/>
    <mergeCell ref="W123:AI123"/>
    <mergeCell ref="I126:J127"/>
    <mergeCell ref="K126:U127"/>
    <mergeCell ref="V126:W127"/>
    <mergeCell ref="D110:AI111"/>
    <mergeCell ref="D112:AI113"/>
    <mergeCell ref="A114:S115"/>
    <mergeCell ref="J116:Q116"/>
    <mergeCell ref="W117:AA117"/>
    <mergeCell ref="W118:AI118"/>
    <mergeCell ref="B104:B106"/>
    <mergeCell ref="C104:H106"/>
    <mergeCell ref="P106:W106"/>
    <mergeCell ref="AC106:AI106"/>
    <mergeCell ref="C107:H107"/>
    <mergeCell ref="L107:Y107"/>
    <mergeCell ref="Z107:AB107"/>
    <mergeCell ref="AC107:AI107"/>
    <mergeCell ref="B99:B101"/>
    <mergeCell ref="C99:H101"/>
    <mergeCell ref="I99:AI100"/>
    <mergeCell ref="AC101:AG101"/>
    <mergeCell ref="B102:B103"/>
    <mergeCell ref="C102:H103"/>
    <mergeCell ref="V102:AA103"/>
    <mergeCell ref="M103:T103"/>
    <mergeCell ref="B97:B98"/>
    <mergeCell ref="C97:H98"/>
    <mergeCell ref="I97:S97"/>
    <mergeCell ref="V97:AA98"/>
    <mergeCell ref="AE97:AI97"/>
    <mergeCell ref="M98:Q98"/>
    <mergeCell ref="AB98:AD98"/>
    <mergeCell ref="C96:H96"/>
    <mergeCell ref="I96:AF96"/>
    <mergeCell ref="B90:B91"/>
    <mergeCell ref="C90:H91"/>
    <mergeCell ref="K90:Q91"/>
    <mergeCell ref="Y90:AD90"/>
    <mergeCell ref="Y91:AD91"/>
    <mergeCell ref="C92:H92"/>
    <mergeCell ref="I92:AI92"/>
    <mergeCell ref="B87:B89"/>
    <mergeCell ref="C87:H89"/>
    <mergeCell ref="I87:AI87"/>
    <mergeCell ref="I88:S88"/>
    <mergeCell ref="V88:AH88"/>
    <mergeCell ref="J89:P89"/>
    <mergeCell ref="Y89:AI89"/>
    <mergeCell ref="B93:B95"/>
    <mergeCell ref="C93:H95"/>
    <mergeCell ref="M95:U95"/>
    <mergeCell ref="Y95:AI95"/>
    <mergeCell ref="B83:B86"/>
    <mergeCell ref="C83:H86"/>
    <mergeCell ref="I83:AI83"/>
    <mergeCell ref="I84:S84"/>
    <mergeCell ref="V84:AH84"/>
    <mergeCell ref="M85:N85"/>
    <mergeCell ref="P85:R85"/>
    <mergeCell ref="U85:AA85"/>
    <mergeCell ref="Y86:AI86"/>
    <mergeCell ref="I78:AH78"/>
    <mergeCell ref="K79:M79"/>
    <mergeCell ref="N79:R79"/>
    <mergeCell ref="S79:W79"/>
    <mergeCell ref="X79:AA79"/>
    <mergeCell ref="AB79:AG79"/>
    <mergeCell ref="B73:B76"/>
    <mergeCell ref="C73:H76"/>
    <mergeCell ref="I73:AI76"/>
    <mergeCell ref="B77:B82"/>
    <mergeCell ref="C77:H82"/>
    <mergeCell ref="K77:M77"/>
    <mergeCell ref="N77:P77"/>
    <mergeCell ref="R77:V77"/>
    <mergeCell ref="W77:Y77"/>
    <mergeCell ref="Z77:AE77"/>
    <mergeCell ref="I80:AH80"/>
    <mergeCell ref="I81:AH81"/>
    <mergeCell ref="I82:AH82"/>
    <mergeCell ref="T68:AH68"/>
    <mergeCell ref="A70:AI70"/>
    <mergeCell ref="B71:H72"/>
    <mergeCell ref="Z71:AI72"/>
    <mergeCell ref="T62:AH62"/>
    <mergeCell ref="T63:AH63"/>
    <mergeCell ref="T64:AH64"/>
    <mergeCell ref="T65:AH65"/>
    <mergeCell ref="T66:AH66"/>
    <mergeCell ref="T67:AH67"/>
    <mergeCell ref="I71:J72"/>
    <mergeCell ref="K71:U72"/>
    <mergeCell ref="V71:W72"/>
    <mergeCell ref="A57:AI57"/>
    <mergeCell ref="A58:AI58"/>
    <mergeCell ref="AB59:AI59"/>
    <mergeCell ref="T61:X61"/>
    <mergeCell ref="D53:AI54"/>
    <mergeCell ref="D55:AI56"/>
    <mergeCell ref="B47:B49"/>
    <mergeCell ref="C47:H49"/>
    <mergeCell ref="P49:W49"/>
    <mergeCell ref="AC49:AI49"/>
    <mergeCell ref="C50:H50"/>
    <mergeCell ref="L50:Y50"/>
    <mergeCell ref="Z50:AB50"/>
    <mergeCell ref="AC50:AI50"/>
    <mergeCell ref="B42:B44"/>
    <mergeCell ref="C42:H44"/>
    <mergeCell ref="I42:AI43"/>
    <mergeCell ref="AC44:AG44"/>
    <mergeCell ref="B45:B46"/>
    <mergeCell ref="C45:H46"/>
    <mergeCell ref="V45:AA46"/>
    <mergeCell ref="M46:T46"/>
    <mergeCell ref="B40:B41"/>
    <mergeCell ref="C40:H41"/>
    <mergeCell ref="I40:S40"/>
    <mergeCell ref="V40:AA41"/>
    <mergeCell ref="AE40:AI40"/>
    <mergeCell ref="M41:Q41"/>
    <mergeCell ref="AB41:AD41"/>
    <mergeCell ref="B36:B38"/>
    <mergeCell ref="C36:H38"/>
    <mergeCell ref="M38:U38"/>
    <mergeCell ref="Y38:AI38"/>
    <mergeCell ref="C39:H39"/>
    <mergeCell ref="I39:AF39"/>
    <mergeCell ref="B33:B34"/>
    <mergeCell ref="C33:H34"/>
    <mergeCell ref="K33:Q34"/>
    <mergeCell ref="Y33:AD33"/>
    <mergeCell ref="Y34:AD34"/>
    <mergeCell ref="C35:H35"/>
    <mergeCell ref="I35:AI35"/>
    <mergeCell ref="Y29:AI29"/>
    <mergeCell ref="B30:B32"/>
    <mergeCell ref="C30:H32"/>
    <mergeCell ref="I30:AI30"/>
    <mergeCell ref="I31:S31"/>
    <mergeCell ref="V31:AH31"/>
    <mergeCell ref="J32:P32"/>
    <mergeCell ref="Y32:AI32"/>
    <mergeCell ref="I24:AH24"/>
    <mergeCell ref="I25:AH25"/>
    <mergeCell ref="B26:B29"/>
    <mergeCell ref="C26:H29"/>
    <mergeCell ref="I26:AI26"/>
    <mergeCell ref="I27:S27"/>
    <mergeCell ref="V27:AH27"/>
    <mergeCell ref="M28:N28"/>
    <mergeCell ref="P28:R28"/>
    <mergeCell ref="U28:AA28"/>
    <mergeCell ref="I23:AH23"/>
    <mergeCell ref="B16:B19"/>
    <mergeCell ref="C16:H19"/>
    <mergeCell ref="I16:AI19"/>
    <mergeCell ref="B20:B25"/>
    <mergeCell ref="C20:H25"/>
    <mergeCell ref="K20:M20"/>
    <mergeCell ref="R20:V20"/>
    <mergeCell ref="W20:Y20"/>
    <mergeCell ref="Z20:AE20"/>
    <mergeCell ref="I21:AH21"/>
    <mergeCell ref="T11:AH11"/>
    <mergeCell ref="A13:AI13"/>
    <mergeCell ref="B14:H15"/>
    <mergeCell ref="Z14:AI15"/>
    <mergeCell ref="K22:M22"/>
    <mergeCell ref="N22:R22"/>
    <mergeCell ref="S22:W22"/>
    <mergeCell ref="X22:AA22"/>
    <mergeCell ref="AB22:AG22"/>
    <mergeCell ref="I14:J15"/>
    <mergeCell ref="K14:U15"/>
    <mergeCell ref="V14:W15"/>
    <mergeCell ref="A1:AI1"/>
    <mergeCell ref="AB2:AI2"/>
    <mergeCell ref="T4:X4"/>
    <mergeCell ref="T5:AH5"/>
    <mergeCell ref="T6:AH6"/>
    <mergeCell ref="T7:AH7"/>
    <mergeCell ref="T8:AH8"/>
    <mergeCell ref="T9:AH9"/>
    <mergeCell ref="T10:AH10"/>
  </mergeCells>
  <phoneticPr fontId="116"/>
  <dataValidations disablePrompts="1" count="2">
    <dataValidation type="list" allowBlank="1" showInputMessage="1" showErrorMessage="1" sqref="I36:I37 I45:I48 I93:I94 I102:I105 I148:I149 I157:I160 AB45:AB46 AB102:AB103 AB157:AB158" xr:uid="{00000000-0002-0000-1100-000000000000}">
      <formula1>"□,☑"</formula1>
    </dataValidation>
    <dataValidation type="list" allowBlank="1" showInputMessage="1" showErrorMessage="1" sqref="M28 M85 M140" xr:uid="{00000000-0002-0000-1100-000001000000}">
      <formula1>"登・届,登,届"</formula1>
    </dataValidation>
  </dataValidations>
  <printOptions horizontalCentered="1"/>
  <pageMargins left="0.78740157480314965" right="0.78740157480314965" top="0.55118110236220474" bottom="0.35433070866141736" header="0.31496062992125984" footer="0.31496062992125984"/>
  <pageSetup paperSize="9" scale="95" orientation="portrait" blackAndWhite="1" r:id="rId1"/>
  <rowBreaks count="3" manualBreakCount="3">
    <brk id="56" max="16383" man="1"/>
    <brk id="113" max="16383" man="1"/>
    <brk id="168"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FF00"/>
  </sheetPr>
  <dimension ref="A1:AJ87"/>
  <sheetViews>
    <sheetView tabSelected="1" zoomScaleNormal="100" zoomScaleSheetLayoutView="100" workbookViewId="0">
      <selection activeCell="AO39" sqref="AO39"/>
    </sheetView>
  </sheetViews>
  <sheetFormatPr defaultColWidth="2.75" defaultRowHeight="15" customHeight="1"/>
  <cols>
    <col min="1" max="1" width="1.625" style="16" customWidth="1"/>
    <col min="2" max="2" width="2.625" style="16" customWidth="1"/>
    <col min="3" max="7" width="2.375" style="16" customWidth="1"/>
    <col min="8" max="8" width="2.75" style="16" customWidth="1"/>
    <col min="9" max="16384" width="2.75" style="16"/>
  </cols>
  <sheetData>
    <row r="1" spans="1:36" ht="11.45" customHeight="1">
      <c r="A1" s="16" t="s">
        <v>3411</v>
      </c>
    </row>
    <row r="2" spans="1:36" ht="18.75" customHeight="1">
      <c r="A2" s="1180" t="s">
        <v>40</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2"/>
    </row>
    <row r="3" spans="1:36" ht="18.75" customHeight="1">
      <c r="A3" s="299"/>
      <c r="Z3" s="1734" t="s">
        <v>3871</v>
      </c>
      <c r="AA3" s="1732"/>
      <c r="AB3" s="1732"/>
      <c r="AC3" s="1732"/>
      <c r="AD3" s="1732"/>
      <c r="AE3" s="1732"/>
      <c r="AF3" s="1733"/>
      <c r="AH3" s="1692" t="s">
        <v>3874</v>
      </c>
      <c r="AI3" s="1786"/>
      <c r="AJ3" s="1692" t="s">
        <v>3875</v>
      </c>
    </row>
    <row r="4" spans="1:36" ht="12.75" customHeight="1">
      <c r="A4" s="299"/>
      <c r="AF4" s="191"/>
      <c r="AH4" s="16">
        <v>2</v>
      </c>
      <c r="AI4" s="1692" t="s">
        <v>3876</v>
      </c>
    </row>
    <row r="5" spans="1:36" ht="15.95" customHeight="1">
      <c r="A5" s="299"/>
      <c r="R5" s="249" t="s">
        <v>3344</v>
      </c>
      <c r="S5" s="1663"/>
      <c r="T5" s="1663"/>
      <c r="U5" s="1663"/>
      <c r="V5" s="1663"/>
      <c r="W5" s="1663"/>
      <c r="X5" s="1663"/>
      <c r="AF5" s="191"/>
      <c r="AH5" s="16">
        <v>3</v>
      </c>
      <c r="AI5" s="1692" t="s">
        <v>3872</v>
      </c>
    </row>
    <row r="6" spans="1:36" ht="24.95" customHeight="1">
      <c r="A6" s="299"/>
      <c r="P6" s="279" t="s">
        <v>234</v>
      </c>
      <c r="R6" s="279" t="s">
        <v>261</v>
      </c>
      <c r="S6" s="1663"/>
      <c r="T6" s="1663"/>
      <c r="U6" s="1663"/>
      <c r="V6" s="1663"/>
      <c r="W6" s="1663"/>
      <c r="X6" s="1663"/>
      <c r="Y6" s="1663"/>
      <c r="Z6" s="1663"/>
      <c r="AA6" s="1663"/>
      <c r="AB6" s="1663"/>
      <c r="AC6" s="1663"/>
      <c r="AD6" s="1663"/>
      <c r="AE6" s="1663"/>
      <c r="AF6" s="1664"/>
      <c r="AH6" s="16">
        <v>4</v>
      </c>
      <c r="AI6" s="1692" t="s">
        <v>3873</v>
      </c>
    </row>
    <row r="7" spans="1:36" ht="16.5" customHeight="1">
      <c r="A7" s="299"/>
      <c r="R7" s="279" t="s">
        <v>247</v>
      </c>
      <c r="S7" s="1663"/>
      <c r="T7" s="1663"/>
      <c r="U7" s="1663"/>
      <c r="V7" s="1663"/>
      <c r="W7" s="1663"/>
      <c r="X7" s="1663"/>
      <c r="Y7" s="1663"/>
      <c r="Z7" s="1663"/>
      <c r="AA7" s="1663"/>
      <c r="AB7" s="1663"/>
      <c r="AC7" s="1663"/>
      <c r="AD7" s="1663"/>
      <c r="AE7" s="1663"/>
      <c r="AF7" s="315"/>
    </row>
    <row r="8" spans="1:36" ht="15" customHeight="1">
      <c r="A8" s="299"/>
      <c r="S8" s="1663"/>
      <c r="T8" s="1663"/>
      <c r="U8" s="1663"/>
      <c r="V8" s="1663"/>
      <c r="W8" s="1663"/>
      <c r="X8" s="1663"/>
      <c r="Y8" s="1663"/>
      <c r="Z8" s="1663"/>
      <c r="AA8" s="1663"/>
      <c r="AB8" s="1663"/>
      <c r="AC8" s="1663"/>
      <c r="AD8" s="1663"/>
      <c r="AE8" s="1663"/>
      <c r="AF8" s="191"/>
    </row>
    <row r="9" spans="1:36" ht="15" customHeight="1">
      <c r="A9" s="299"/>
      <c r="S9" s="1663"/>
      <c r="T9" s="1663"/>
      <c r="U9" s="1663"/>
      <c r="V9" s="1663"/>
      <c r="W9" s="1663"/>
      <c r="X9" s="1663"/>
      <c r="Y9" s="1663"/>
      <c r="Z9" s="1663"/>
      <c r="AA9" s="1663"/>
      <c r="AB9" s="1663"/>
      <c r="AC9" s="1663"/>
      <c r="AD9" s="1663"/>
      <c r="AE9" s="1663"/>
      <c r="AF9" s="191"/>
    </row>
    <row r="10" spans="1:36" ht="15" customHeight="1">
      <c r="A10" s="299"/>
      <c r="S10" s="1663"/>
      <c r="T10" s="1663"/>
      <c r="U10" s="1663"/>
      <c r="V10" s="1663"/>
      <c r="W10" s="1663"/>
      <c r="X10" s="1663"/>
      <c r="Y10" s="1663"/>
      <c r="Z10" s="1663"/>
      <c r="AA10" s="1663"/>
      <c r="AB10" s="1663"/>
      <c r="AC10" s="1663"/>
      <c r="AD10" s="1663"/>
      <c r="AE10" s="1663"/>
      <c r="AF10" s="191"/>
    </row>
    <row r="11" spans="1:36" ht="15" customHeight="1">
      <c r="A11" s="299"/>
      <c r="S11" s="1663"/>
      <c r="T11" s="1663"/>
      <c r="U11" s="1663"/>
      <c r="V11" s="1663"/>
      <c r="W11" s="1663"/>
      <c r="X11" s="1663"/>
      <c r="Y11" s="1663"/>
      <c r="Z11" s="1663"/>
      <c r="AA11" s="1663"/>
      <c r="AB11" s="1663"/>
      <c r="AC11" s="1663"/>
      <c r="AD11" s="1663"/>
      <c r="AE11" s="1663"/>
      <c r="AF11" s="191"/>
    </row>
    <row r="12" spans="1:36" ht="15" customHeight="1">
      <c r="A12" s="299"/>
      <c r="R12" s="279" t="s">
        <v>264</v>
      </c>
      <c r="S12" s="1663"/>
      <c r="T12" s="1663"/>
      <c r="U12" s="1663"/>
      <c r="V12" s="1663"/>
      <c r="W12" s="1663"/>
      <c r="X12" s="1663"/>
      <c r="Y12" s="1663"/>
      <c r="Z12" s="1663"/>
      <c r="AA12" s="1663"/>
      <c r="AB12" s="1663"/>
      <c r="AC12" s="1663"/>
      <c r="AD12" s="1663"/>
      <c r="AE12" s="1663"/>
      <c r="AF12" s="1664"/>
    </row>
    <row r="13" spans="1:36" ht="15.6" customHeight="1">
      <c r="A13" s="299"/>
      <c r="B13" s="16" t="s">
        <v>3413</v>
      </c>
      <c r="AF13" s="191"/>
    </row>
    <row r="14" spans="1:36" ht="15" customHeight="1">
      <c r="A14" s="1091" t="s">
        <v>3346</v>
      </c>
      <c r="B14" s="1092"/>
      <c r="C14" s="1092"/>
      <c r="D14" s="1092"/>
      <c r="E14" s="1092"/>
      <c r="F14" s="1092"/>
      <c r="G14" s="1092"/>
      <c r="H14" s="1092"/>
      <c r="I14" s="1092"/>
      <c r="J14" s="1092"/>
      <c r="K14" s="1092"/>
      <c r="L14" s="1092"/>
      <c r="M14" s="1092"/>
      <c r="N14" s="1092"/>
      <c r="O14" s="1092"/>
      <c r="P14" s="1092"/>
      <c r="Q14" s="1092"/>
      <c r="R14" s="1092"/>
      <c r="S14" s="1092"/>
      <c r="T14" s="1092"/>
      <c r="U14" s="1092"/>
      <c r="V14" s="1092"/>
      <c r="W14" s="1092"/>
      <c r="X14" s="1092"/>
      <c r="Y14" s="1092"/>
      <c r="Z14" s="1092"/>
      <c r="AA14" s="1092"/>
      <c r="AB14" s="1092"/>
      <c r="AC14" s="1092"/>
      <c r="AD14" s="1092"/>
      <c r="AE14" s="1092"/>
      <c r="AF14" s="1093"/>
    </row>
    <row r="15" spans="1:36" ht="20.100000000000001" customHeight="1">
      <c r="A15" s="300"/>
      <c r="B15" s="799">
        <v>1</v>
      </c>
      <c r="C15" s="1127" t="s">
        <v>3414</v>
      </c>
      <c r="D15" s="1127"/>
      <c r="E15" s="1127"/>
      <c r="F15" s="1127"/>
      <c r="G15" s="1127"/>
      <c r="H15" s="1128"/>
      <c r="I15" s="1745"/>
      <c r="J15" s="1746"/>
      <c r="K15" s="1748" t="s">
        <v>3868</v>
      </c>
      <c r="L15" s="1677"/>
      <c r="M15" s="1677"/>
      <c r="N15" s="1749" t="s">
        <v>3869</v>
      </c>
      <c r="O15" s="1749"/>
      <c r="P15" s="1749"/>
      <c r="Q15" s="1677"/>
      <c r="R15" s="1677"/>
      <c r="S15" s="1677"/>
      <c r="T15" s="1747" t="s">
        <v>3870</v>
      </c>
      <c r="U15" s="1742"/>
      <c r="V15" s="1742"/>
      <c r="W15" s="1742"/>
      <c r="X15" s="1742"/>
      <c r="Y15" s="1688" t="s">
        <v>3867</v>
      </c>
      <c r="Z15" s="1688"/>
      <c r="AA15" s="1688"/>
      <c r="AB15" s="1688"/>
      <c r="AC15" s="1688"/>
      <c r="AD15" s="1688"/>
      <c r="AE15" s="1688"/>
      <c r="AF15" s="1689"/>
    </row>
    <row r="16" spans="1:36" ht="20.100000000000001" customHeight="1">
      <c r="A16" s="299"/>
      <c r="B16" s="1694"/>
      <c r="C16" s="1787"/>
      <c r="D16" s="1787"/>
      <c r="E16" s="1787"/>
      <c r="F16" s="1787"/>
      <c r="G16" s="1787"/>
      <c r="H16" s="1130"/>
      <c r="I16" s="1743"/>
      <c r="J16" s="1744"/>
      <c r="K16" s="1744"/>
      <c r="L16" s="1744"/>
      <c r="M16" s="1744"/>
      <c r="N16" s="1744"/>
      <c r="O16" s="1744"/>
      <c r="P16" s="1744"/>
      <c r="Q16" s="1744"/>
      <c r="R16" s="1744"/>
      <c r="S16" s="1744"/>
      <c r="T16" s="1744"/>
      <c r="U16" s="1744"/>
      <c r="V16" s="1744"/>
      <c r="W16" s="1744"/>
      <c r="X16" s="1744"/>
      <c r="Y16" s="1690"/>
      <c r="Z16" s="1690"/>
      <c r="AA16" s="1690"/>
      <c r="AB16" s="1690"/>
      <c r="AC16" s="1690"/>
      <c r="AD16" s="1690"/>
      <c r="AE16" s="1690"/>
      <c r="AF16" s="1691"/>
    </row>
    <row r="17" spans="1:32" ht="15" customHeight="1">
      <c r="A17" s="300"/>
      <c r="B17" s="799">
        <v>2</v>
      </c>
      <c r="C17" s="799" t="s">
        <v>3349</v>
      </c>
      <c r="D17" s="799"/>
      <c r="E17" s="799"/>
      <c r="F17" s="799"/>
      <c r="G17" s="799"/>
      <c r="H17" s="1087"/>
      <c r="I17" s="1669"/>
      <c r="J17" s="1670"/>
      <c r="K17" s="1670"/>
      <c r="L17" s="1670"/>
      <c r="M17" s="1670"/>
      <c r="N17" s="1670"/>
      <c r="O17" s="1670"/>
      <c r="P17" s="1670"/>
      <c r="Q17" s="1670"/>
      <c r="R17" s="1670"/>
      <c r="S17" s="1670"/>
      <c r="T17" s="1670"/>
      <c r="U17" s="1670"/>
      <c r="V17" s="1670"/>
      <c r="W17" s="1670"/>
      <c r="X17" s="1670"/>
      <c r="Y17" s="1670"/>
      <c r="Z17" s="1670"/>
      <c r="AA17" s="1670"/>
      <c r="AB17" s="1670"/>
      <c r="AC17" s="1670"/>
      <c r="AD17" s="1670"/>
      <c r="AE17" s="1670"/>
      <c r="AF17" s="1671"/>
    </row>
    <row r="18" spans="1:32" ht="15" customHeight="1">
      <c r="A18" s="299"/>
      <c r="B18" s="1694"/>
      <c r="C18" s="1694"/>
      <c r="D18" s="1694"/>
      <c r="E18" s="1694"/>
      <c r="F18" s="1694"/>
      <c r="G18" s="1694"/>
      <c r="H18" s="1143"/>
      <c r="I18" s="1672"/>
      <c r="J18" s="1788"/>
      <c r="K18" s="1788"/>
      <c r="L18" s="1788"/>
      <c r="M18" s="1788"/>
      <c r="N18" s="1788"/>
      <c r="O18" s="1788"/>
      <c r="P18" s="1788"/>
      <c r="Q18" s="1788"/>
      <c r="R18" s="1788"/>
      <c r="S18" s="1788"/>
      <c r="T18" s="1788"/>
      <c r="U18" s="1788"/>
      <c r="V18" s="1788"/>
      <c r="W18" s="1788"/>
      <c r="X18" s="1788"/>
      <c r="Y18" s="1788"/>
      <c r="Z18" s="1788"/>
      <c r="AA18" s="1788"/>
      <c r="AB18" s="1788"/>
      <c r="AC18" s="1788"/>
      <c r="AD18" s="1788"/>
      <c r="AE18" s="1788"/>
      <c r="AF18" s="1673"/>
    </row>
    <row r="19" spans="1:32" ht="15" customHeight="1">
      <c r="A19" s="299"/>
      <c r="B19" s="1694"/>
      <c r="C19" s="1694"/>
      <c r="D19" s="1694"/>
      <c r="E19" s="1694"/>
      <c r="F19" s="1694"/>
      <c r="G19" s="1694"/>
      <c r="H19" s="1143"/>
      <c r="I19" s="1672"/>
      <c r="J19" s="1788"/>
      <c r="K19" s="1788"/>
      <c r="L19" s="1788"/>
      <c r="M19" s="1788"/>
      <c r="N19" s="1788"/>
      <c r="O19" s="1788"/>
      <c r="P19" s="1788"/>
      <c r="Q19" s="1788"/>
      <c r="R19" s="1788"/>
      <c r="S19" s="1788"/>
      <c r="T19" s="1788"/>
      <c r="U19" s="1788"/>
      <c r="V19" s="1788"/>
      <c r="W19" s="1788"/>
      <c r="X19" s="1788"/>
      <c r="Y19" s="1788"/>
      <c r="Z19" s="1788"/>
      <c r="AA19" s="1788"/>
      <c r="AB19" s="1788"/>
      <c r="AC19" s="1788"/>
      <c r="AD19" s="1788"/>
      <c r="AE19" s="1788"/>
      <c r="AF19" s="1673"/>
    </row>
    <row r="20" spans="1:32" ht="15" customHeight="1">
      <c r="A20" s="301"/>
      <c r="B20" s="1092"/>
      <c r="C20" s="1092"/>
      <c r="D20" s="1092"/>
      <c r="E20" s="1092"/>
      <c r="F20" s="1092"/>
      <c r="G20" s="1092"/>
      <c r="H20" s="1093"/>
      <c r="I20" s="1674"/>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6"/>
    </row>
    <row r="21" spans="1:32" ht="23.1" customHeight="1">
      <c r="A21" s="301"/>
      <c r="B21" s="274">
        <v>3</v>
      </c>
      <c r="C21" s="1092" t="s">
        <v>3366</v>
      </c>
      <c r="D21" s="1092"/>
      <c r="E21" s="1092"/>
      <c r="F21" s="1092"/>
      <c r="G21" s="1092"/>
      <c r="H21" s="1093"/>
      <c r="I21" s="1665"/>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7"/>
    </row>
    <row r="22" spans="1:32" ht="20.45" customHeight="1">
      <c r="A22" s="300"/>
      <c r="B22" s="799">
        <v>4</v>
      </c>
      <c r="C22" s="799" t="s">
        <v>3367</v>
      </c>
      <c r="D22" s="799"/>
      <c r="E22" s="799"/>
      <c r="F22" s="799"/>
      <c r="G22" s="799"/>
      <c r="H22" s="1087"/>
      <c r="I22" s="1789" t="s">
        <v>2832</v>
      </c>
      <c r="J22" s="748" t="s">
        <v>3368</v>
      </c>
      <c r="K22" s="748"/>
      <c r="L22" s="748"/>
      <c r="M22" s="748"/>
      <c r="N22" s="748"/>
      <c r="O22" s="748"/>
      <c r="P22" s="748"/>
      <c r="Q22" s="748"/>
      <c r="R22" s="748"/>
      <c r="S22" s="748"/>
      <c r="T22" s="748"/>
      <c r="U22" s="748"/>
      <c r="V22" s="748"/>
      <c r="W22" s="748"/>
      <c r="X22" s="748"/>
      <c r="Y22" s="748"/>
      <c r="Z22" s="748"/>
      <c r="AA22" s="748"/>
      <c r="AB22" s="748"/>
      <c r="AC22" s="748"/>
      <c r="AD22" s="748"/>
      <c r="AE22" s="748"/>
      <c r="AF22" s="750"/>
    </row>
    <row r="23" spans="1:32" ht="20.45" customHeight="1">
      <c r="A23" s="299"/>
      <c r="B23" s="1694"/>
      <c r="C23" s="1694"/>
      <c r="D23" s="1694"/>
      <c r="E23" s="1694"/>
      <c r="F23" s="1694"/>
      <c r="G23" s="1694"/>
      <c r="H23" s="1143"/>
      <c r="I23" s="1789" t="s">
        <v>2832</v>
      </c>
      <c r="J23" s="1693" t="s">
        <v>3369</v>
      </c>
      <c r="K23" s="1693"/>
      <c r="L23" s="1693"/>
      <c r="M23" s="1693"/>
      <c r="N23" s="1693"/>
      <c r="O23" s="1693"/>
      <c r="P23" s="1693"/>
      <c r="Q23" s="1693"/>
      <c r="R23" s="1693"/>
      <c r="S23" s="1693"/>
      <c r="T23" s="1693"/>
      <c r="U23" s="1693"/>
      <c r="V23" s="1693"/>
      <c r="W23" s="1693"/>
      <c r="X23" s="1693"/>
      <c r="Y23" s="1693"/>
      <c r="Z23" s="1693"/>
      <c r="AA23" s="1693"/>
      <c r="AB23" s="1693"/>
      <c r="AC23" s="1693"/>
      <c r="AD23" s="1693"/>
      <c r="AE23" s="1693"/>
      <c r="AF23" s="191"/>
    </row>
    <row r="24" spans="1:32" ht="20.45" customHeight="1">
      <c r="A24" s="301"/>
      <c r="B24" s="1092"/>
      <c r="C24" s="1092"/>
      <c r="D24" s="1092"/>
      <c r="E24" s="1092"/>
      <c r="F24" s="1092"/>
      <c r="G24" s="1092"/>
      <c r="H24" s="1093"/>
      <c r="I24" s="301"/>
      <c r="J24" s="193" t="s">
        <v>3370</v>
      </c>
      <c r="K24" s="193"/>
      <c r="L24" s="193"/>
      <c r="M24" s="1668"/>
      <c r="N24" s="1668"/>
      <c r="O24" s="1668"/>
      <c r="P24" s="1668"/>
      <c r="Q24" s="1668"/>
      <c r="R24" s="1668"/>
      <c r="S24" s="1668"/>
      <c r="T24" s="1668"/>
      <c r="U24" s="1668"/>
      <c r="V24" s="193" t="s">
        <v>3371</v>
      </c>
      <c r="W24" s="193"/>
      <c r="X24" s="1777" t="s">
        <v>3866</v>
      </c>
      <c r="Y24" s="1678"/>
      <c r="Z24" s="1678"/>
      <c r="AA24" s="1678"/>
      <c r="AB24" s="1678"/>
      <c r="AC24" s="1678"/>
      <c r="AD24" s="1678"/>
      <c r="AE24" s="1678"/>
      <c r="AF24" s="1687"/>
    </row>
    <row r="25" spans="1:32" ht="23.1" customHeight="1">
      <c r="A25" s="313"/>
      <c r="B25" s="250">
        <v>5</v>
      </c>
      <c r="C25" s="1144" t="s">
        <v>3372</v>
      </c>
      <c r="D25" s="1144"/>
      <c r="E25" s="1144"/>
      <c r="F25" s="1144"/>
      <c r="G25" s="1144"/>
      <c r="H25" s="1145"/>
      <c r="I25" s="1665"/>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309"/>
      <c r="AF25" s="310" t="s">
        <v>3373</v>
      </c>
    </row>
    <row r="26" spans="1:32" ht="20.85" customHeight="1">
      <c r="A26" s="300"/>
      <c r="B26" s="799">
        <v>6</v>
      </c>
      <c r="C26" s="799" t="s">
        <v>3374</v>
      </c>
      <c r="D26" s="799"/>
      <c r="E26" s="799"/>
      <c r="F26" s="799"/>
      <c r="G26" s="799"/>
      <c r="H26" s="1087"/>
      <c r="I26" s="1679"/>
      <c r="J26" s="1680"/>
      <c r="K26" s="1680"/>
      <c r="L26" s="1680"/>
      <c r="M26" s="1680"/>
      <c r="N26" s="1680"/>
      <c r="O26" s="1680"/>
      <c r="P26" s="1680"/>
      <c r="Q26" s="1680"/>
      <c r="R26" s="1680"/>
      <c r="S26" s="748"/>
      <c r="T26" s="751" t="s">
        <v>3375</v>
      </c>
      <c r="U26" s="1086" t="s">
        <v>3415</v>
      </c>
      <c r="V26" s="799"/>
      <c r="W26" s="799"/>
      <c r="X26" s="799"/>
      <c r="Y26" s="1087"/>
      <c r="Z26" s="748" t="s">
        <v>3377</v>
      </c>
      <c r="AA26" s="748"/>
      <c r="AB26" s="748"/>
      <c r="AC26" s="1677"/>
      <c r="AD26" s="1677"/>
      <c r="AE26" s="1677"/>
      <c r="AF26" s="1681"/>
    </row>
    <row r="27" spans="1:32" ht="20.85" customHeight="1">
      <c r="A27" s="301"/>
      <c r="B27" s="1092"/>
      <c r="C27" s="1092"/>
      <c r="D27" s="1092"/>
      <c r="E27" s="1092"/>
      <c r="F27" s="1092"/>
      <c r="G27" s="1092"/>
      <c r="H27" s="1093"/>
      <c r="I27" s="301" t="s">
        <v>3378</v>
      </c>
      <c r="J27" s="193"/>
      <c r="K27" s="193"/>
      <c r="L27" s="193"/>
      <c r="M27" s="1678"/>
      <c r="N27" s="1678"/>
      <c r="O27" s="1678"/>
      <c r="P27" s="1678"/>
      <c r="Q27" s="193"/>
      <c r="R27" s="193"/>
      <c r="S27" s="193"/>
      <c r="T27" s="311" t="s">
        <v>3379</v>
      </c>
      <c r="U27" s="1091"/>
      <c r="V27" s="1092"/>
      <c r="W27" s="1092"/>
      <c r="X27" s="1092"/>
      <c r="Y27" s="1093"/>
      <c r="Z27" s="1678"/>
      <c r="AA27" s="1678"/>
      <c r="AB27" s="1678"/>
      <c r="AC27" s="193"/>
      <c r="AD27" s="193"/>
      <c r="AE27" s="193"/>
      <c r="AF27" s="311" t="s">
        <v>3380</v>
      </c>
    </row>
    <row r="28" spans="1:32" ht="21" customHeight="1">
      <c r="A28" s="300"/>
      <c r="B28" s="799">
        <v>8</v>
      </c>
      <c r="C28" s="1127" t="s">
        <v>3389</v>
      </c>
      <c r="D28" s="799"/>
      <c r="E28" s="799"/>
      <c r="F28" s="799"/>
      <c r="G28" s="799"/>
      <c r="H28" s="1087"/>
      <c r="I28" s="1686" t="s">
        <v>2832</v>
      </c>
      <c r="J28" s="748" t="s">
        <v>3390</v>
      </c>
      <c r="K28" s="748"/>
      <c r="L28" s="748"/>
      <c r="M28" s="748"/>
      <c r="N28" s="748"/>
      <c r="O28" s="748"/>
      <c r="P28" s="748"/>
      <c r="Q28" s="748"/>
      <c r="R28" s="748"/>
      <c r="S28" s="748"/>
      <c r="T28" s="748"/>
      <c r="U28" s="748"/>
      <c r="V28" s="748"/>
      <c r="W28" s="748"/>
      <c r="X28" s="748"/>
      <c r="Y28" s="748"/>
      <c r="Z28" s="748"/>
      <c r="AA28" s="748"/>
      <c r="AB28" s="748"/>
      <c r="AC28" s="748"/>
      <c r="AD28" s="748"/>
      <c r="AE28" s="748"/>
      <c r="AF28" s="750"/>
    </row>
    <row r="29" spans="1:32" ht="21" customHeight="1">
      <c r="A29" s="299"/>
      <c r="B29" s="1694"/>
      <c r="C29" s="1694"/>
      <c r="D29" s="1694"/>
      <c r="E29" s="1694"/>
      <c r="F29" s="1694"/>
      <c r="G29" s="1694"/>
      <c r="H29" s="1143"/>
      <c r="I29" s="1789" t="s">
        <v>2832</v>
      </c>
      <c r="J29" s="1693" t="s">
        <v>3391</v>
      </c>
      <c r="K29" s="1693"/>
      <c r="L29" s="1693"/>
      <c r="M29" s="1693"/>
      <c r="N29" s="1693"/>
      <c r="O29" s="1693"/>
      <c r="P29" s="1693"/>
      <c r="Q29" s="1693"/>
      <c r="R29" s="1693"/>
      <c r="S29" s="1693"/>
      <c r="T29" s="1693"/>
      <c r="U29" s="1693"/>
      <c r="V29" s="1693"/>
      <c r="W29" s="1693"/>
      <c r="X29" s="1693"/>
      <c r="Y29" s="1693"/>
      <c r="Z29" s="1693"/>
      <c r="AA29" s="1693"/>
      <c r="AB29" s="1693"/>
      <c r="AC29" s="1693"/>
      <c r="AD29" s="1693"/>
      <c r="AE29" s="1693"/>
      <c r="AF29" s="191"/>
    </row>
    <row r="30" spans="1:32" ht="21" customHeight="1">
      <c r="A30" s="301"/>
      <c r="B30" s="1092"/>
      <c r="C30" s="1092"/>
      <c r="D30" s="1092"/>
      <c r="E30" s="1092"/>
      <c r="F30" s="1092"/>
      <c r="G30" s="1092"/>
      <c r="H30" s="1093"/>
      <c r="I30" s="193"/>
      <c r="J30" s="193" t="s">
        <v>3392</v>
      </c>
      <c r="K30" s="193"/>
      <c r="L30" s="193"/>
      <c r="M30" s="193"/>
      <c r="N30" s="1693"/>
      <c r="O30" s="1668"/>
      <c r="P30" s="1668"/>
      <c r="Q30" s="1668"/>
      <c r="R30" s="1668"/>
      <c r="S30" s="1668"/>
      <c r="T30" s="1668"/>
      <c r="U30" s="1668"/>
      <c r="V30" s="193"/>
      <c r="W30" s="193"/>
      <c r="X30" s="193"/>
      <c r="Y30" s="278" t="s">
        <v>3393</v>
      </c>
      <c r="Z30" s="1776" t="s">
        <v>3866</v>
      </c>
      <c r="AA30" s="1735"/>
      <c r="AB30" s="1735"/>
      <c r="AC30" s="1735"/>
      <c r="AD30" s="1735"/>
      <c r="AE30" s="1735"/>
      <c r="AF30" s="1736"/>
    </row>
    <row r="31" spans="1:32" ht="32.25" customHeight="1">
      <c r="A31" s="313"/>
      <c r="B31" s="250">
        <v>9</v>
      </c>
      <c r="C31" s="1163" t="s">
        <v>3395</v>
      </c>
      <c r="D31" s="1144"/>
      <c r="E31" s="1144"/>
      <c r="F31" s="1144"/>
      <c r="G31" s="1144"/>
      <c r="H31" s="1145"/>
      <c r="I31" s="313" t="s">
        <v>3370</v>
      </c>
      <c r="J31" s="309"/>
      <c r="K31" s="309"/>
      <c r="L31" s="1666"/>
      <c r="M31" s="1666"/>
      <c r="N31" s="1666"/>
      <c r="O31" s="1666"/>
      <c r="P31" s="1666"/>
      <c r="Q31" s="1666"/>
      <c r="R31" s="1666"/>
      <c r="S31" s="1666"/>
      <c r="T31" s="1666"/>
      <c r="U31" s="1666"/>
      <c r="V31" s="1666"/>
      <c r="W31" s="1666"/>
      <c r="X31" s="309"/>
      <c r="Y31" s="316" t="s">
        <v>3371</v>
      </c>
      <c r="Z31" s="1737" t="s">
        <v>3866</v>
      </c>
      <c r="AA31" s="1738"/>
      <c r="AB31" s="1738"/>
      <c r="AC31" s="1738"/>
      <c r="AD31" s="1738"/>
      <c r="AE31" s="1738"/>
      <c r="AF31" s="1739"/>
    </row>
    <row r="32" spans="1:32" ht="21" customHeight="1">
      <c r="A32" s="300"/>
      <c r="B32" s="799">
        <v>10</v>
      </c>
      <c r="C32" s="1127" t="s">
        <v>3354</v>
      </c>
      <c r="D32" s="1127"/>
      <c r="E32" s="1127"/>
      <c r="F32" s="1127"/>
      <c r="G32" s="1127"/>
      <c r="H32" s="1128"/>
      <c r="I32" s="1682"/>
      <c r="J32" s="1683"/>
      <c r="K32" s="1683"/>
      <c r="L32" s="1683"/>
      <c r="M32" s="1683"/>
      <c r="N32" s="1683"/>
      <c r="O32" s="1683"/>
      <c r="P32" s="1683"/>
      <c r="Q32" s="1683"/>
      <c r="R32" s="1683"/>
      <c r="S32" s="1683"/>
      <c r="T32" s="1683"/>
      <c r="U32" s="1683"/>
      <c r="V32" s="1683"/>
      <c r="W32" s="1683"/>
      <c r="X32" s="1683"/>
      <c r="Y32" s="1683"/>
      <c r="Z32" s="1683"/>
      <c r="AA32" s="1683"/>
      <c r="AB32" s="1683"/>
      <c r="AC32" s="1683"/>
      <c r="AD32" s="1683"/>
      <c r="AE32" s="1683"/>
      <c r="AF32" s="1684"/>
    </row>
    <row r="33" spans="1:32" ht="21" customHeight="1">
      <c r="A33" s="299"/>
      <c r="B33" s="1694"/>
      <c r="C33" s="1787"/>
      <c r="D33" s="1787"/>
      <c r="E33" s="1787"/>
      <c r="F33" s="1787"/>
      <c r="G33" s="1787"/>
      <c r="H33" s="1130"/>
      <c r="I33" s="1685"/>
      <c r="J33" s="1790"/>
      <c r="K33" s="1790"/>
      <c r="L33" s="1790"/>
      <c r="M33" s="1790"/>
      <c r="N33" s="1790"/>
      <c r="O33" s="1790"/>
      <c r="P33" s="1790"/>
      <c r="Q33" s="1790"/>
      <c r="R33" s="1790"/>
      <c r="S33" s="1790"/>
      <c r="T33" s="1693"/>
      <c r="U33" s="1791" t="s">
        <v>3341</v>
      </c>
      <c r="V33" s="1790"/>
      <c r="W33" s="1790"/>
      <c r="X33" s="1790"/>
      <c r="Y33" s="1790"/>
      <c r="Z33" s="1790"/>
      <c r="AA33" s="1790"/>
      <c r="AB33" s="1790"/>
      <c r="AC33" s="1790"/>
      <c r="AD33" s="1790"/>
      <c r="AE33" s="1790"/>
      <c r="AF33" s="191"/>
    </row>
    <row r="34" spans="1:32" ht="21" customHeight="1">
      <c r="A34" s="299"/>
      <c r="B34" s="1694"/>
      <c r="C34" s="1787"/>
      <c r="D34" s="1787"/>
      <c r="E34" s="1787"/>
      <c r="F34" s="1787"/>
      <c r="G34" s="1787"/>
      <c r="H34" s="1130"/>
      <c r="I34" s="299" t="s">
        <v>3355</v>
      </c>
      <c r="J34" s="1693"/>
      <c r="K34" s="1693"/>
      <c r="L34" s="1693"/>
      <c r="M34" s="1792" t="s">
        <v>3356</v>
      </c>
      <c r="N34" s="1792"/>
      <c r="O34" s="1695" t="s">
        <v>3177</v>
      </c>
      <c r="P34" s="1792"/>
      <c r="Q34" s="1792"/>
      <c r="R34" s="1792"/>
      <c r="S34" s="1693" t="s">
        <v>2913</v>
      </c>
      <c r="T34" s="1693" t="s">
        <v>2947</v>
      </c>
      <c r="U34" s="1792"/>
      <c r="V34" s="1792"/>
      <c r="W34" s="1792"/>
      <c r="X34" s="1792"/>
      <c r="Y34" s="1792"/>
      <c r="Z34" s="1792"/>
      <c r="AA34" s="1693" t="s">
        <v>2849</v>
      </c>
      <c r="AB34" s="1693"/>
      <c r="AC34" s="1693"/>
      <c r="AD34" s="1693"/>
      <c r="AE34" s="1693"/>
      <c r="AF34" s="191"/>
    </row>
    <row r="35" spans="1:32" ht="21" customHeight="1">
      <c r="A35" s="301"/>
      <c r="B35" s="1092"/>
      <c r="C35" s="1131"/>
      <c r="D35" s="1131"/>
      <c r="E35" s="1131"/>
      <c r="F35" s="1131"/>
      <c r="G35" s="1131"/>
      <c r="H35" s="1132"/>
      <c r="I35" s="301"/>
      <c r="J35" s="193"/>
      <c r="K35" s="193"/>
      <c r="L35" s="193"/>
      <c r="M35" s="193"/>
      <c r="N35" s="193"/>
      <c r="O35" s="193"/>
      <c r="P35" s="193"/>
      <c r="Q35" s="193"/>
      <c r="R35" s="193"/>
      <c r="S35" s="193"/>
      <c r="T35" s="193"/>
      <c r="U35" s="193"/>
      <c r="V35" s="193"/>
      <c r="W35" s="278" t="s">
        <v>3358</v>
      </c>
      <c r="X35" s="1735" t="s">
        <v>3412</v>
      </c>
      <c r="Y35" s="1735"/>
      <c r="Z35" s="1735"/>
      <c r="AA35" s="1735"/>
      <c r="AB35" s="1735"/>
      <c r="AC35" s="1735"/>
      <c r="AD35" s="1735"/>
      <c r="AE35" s="1735"/>
      <c r="AF35" s="1736"/>
    </row>
    <row r="36" spans="1:32" ht="21" customHeight="1">
      <c r="A36" s="300"/>
      <c r="B36" s="799">
        <v>11</v>
      </c>
      <c r="C36" s="1127" t="s">
        <v>3360</v>
      </c>
      <c r="D36" s="1127"/>
      <c r="E36" s="1127"/>
      <c r="F36" s="1127"/>
      <c r="G36" s="1127"/>
      <c r="H36" s="1128"/>
      <c r="I36" s="1682"/>
      <c r="J36" s="1683"/>
      <c r="K36" s="1683"/>
      <c r="L36" s="1683"/>
      <c r="M36" s="1683"/>
      <c r="N36" s="1683"/>
      <c r="O36" s="1683"/>
      <c r="P36" s="1683"/>
      <c r="Q36" s="1683"/>
      <c r="R36" s="1683"/>
      <c r="S36" s="1683"/>
      <c r="T36" s="1683"/>
      <c r="U36" s="1683"/>
      <c r="V36" s="1683"/>
      <c r="W36" s="1683"/>
      <c r="X36" s="1683"/>
      <c r="Y36" s="1683"/>
      <c r="Z36" s="1683"/>
      <c r="AA36" s="1683"/>
      <c r="AB36" s="1683"/>
      <c r="AC36" s="1683"/>
      <c r="AD36" s="1683"/>
      <c r="AE36" s="1683"/>
      <c r="AF36" s="750"/>
    </row>
    <row r="37" spans="1:32" ht="21" customHeight="1">
      <c r="A37" s="299"/>
      <c r="B37" s="1694"/>
      <c r="C37" s="1787"/>
      <c r="D37" s="1787"/>
      <c r="E37" s="1787"/>
      <c r="F37" s="1787"/>
      <c r="G37" s="1787"/>
      <c r="H37" s="1130"/>
      <c r="I37" s="1685"/>
      <c r="J37" s="1790"/>
      <c r="K37" s="1790"/>
      <c r="L37" s="1790"/>
      <c r="M37" s="1790"/>
      <c r="N37" s="1790"/>
      <c r="O37" s="1790"/>
      <c r="P37" s="1790"/>
      <c r="Q37" s="1790"/>
      <c r="R37" s="1790"/>
      <c r="S37" s="1790"/>
      <c r="T37" s="1693"/>
      <c r="U37" s="1791" t="s">
        <v>3341</v>
      </c>
      <c r="V37" s="1790"/>
      <c r="W37" s="1790"/>
      <c r="X37" s="1790"/>
      <c r="Y37" s="1790"/>
      <c r="Z37" s="1790"/>
      <c r="AA37" s="1790"/>
      <c r="AB37" s="1790"/>
      <c r="AC37" s="1790"/>
      <c r="AD37" s="1790"/>
      <c r="AE37" s="1790"/>
      <c r="AF37" s="1698"/>
    </row>
    <row r="38" spans="1:32" ht="21" customHeight="1">
      <c r="A38" s="301"/>
      <c r="B38" s="1092"/>
      <c r="C38" s="1131"/>
      <c r="D38" s="1131"/>
      <c r="E38" s="1131"/>
      <c r="F38" s="1131"/>
      <c r="G38" s="1131"/>
      <c r="H38" s="1132"/>
      <c r="I38" s="193" t="s">
        <v>2947</v>
      </c>
      <c r="J38" s="1678"/>
      <c r="K38" s="1678"/>
      <c r="L38" s="1678"/>
      <c r="M38" s="1678"/>
      <c r="N38" s="1678"/>
      <c r="O38" s="1678"/>
      <c r="P38" s="193" t="s">
        <v>2849</v>
      </c>
      <c r="Q38" s="193"/>
      <c r="R38" s="193"/>
      <c r="S38" s="193"/>
      <c r="T38" s="193"/>
      <c r="U38" s="193"/>
      <c r="V38" s="1696"/>
      <c r="W38" s="1697" t="s">
        <v>3361</v>
      </c>
      <c r="X38" s="1735" t="s">
        <v>3412</v>
      </c>
      <c r="Y38" s="1735"/>
      <c r="Z38" s="1735"/>
      <c r="AA38" s="1735"/>
      <c r="AB38" s="1735"/>
      <c r="AC38" s="1735"/>
      <c r="AD38" s="1735"/>
      <c r="AE38" s="1735"/>
      <c r="AF38" s="1736"/>
    </row>
    <row r="39" spans="1:32" ht="24.95" customHeight="1">
      <c r="A39" s="313"/>
      <c r="B39" s="250">
        <v>12</v>
      </c>
      <c r="C39" s="1144" t="s">
        <v>3416</v>
      </c>
      <c r="D39" s="1144"/>
      <c r="E39" s="1144"/>
      <c r="F39" s="1144"/>
      <c r="G39" s="1144"/>
      <c r="H39" s="1145"/>
      <c r="I39" s="1740" t="s">
        <v>3412</v>
      </c>
      <c r="J39" s="1738"/>
      <c r="K39" s="1738"/>
      <c r="L39" s="1738"/>
      <c r="M39" s="1738"/>
      <c r="N39" s="1738"/>
      <c r="O39" s="1738"/>
      <c r="P39" s="1738"/>
      <c r="Q39" s="1738"/>
      <c r="R39" s="309"/>
      <c r="S39" s="309"/>
      <c r="T39" s="309"/>
      <c r="U39" s="309"/>
      <c r="V39" s="309"/>
      <c r="W39" s="309"/>
      <c r="X39" s="309"/>
      <c r="Y39" s="309"/>
      <c r="Z39" s="309"/>
      <c r="AA39" s="309"/>
      <c r="AB39" s="309"/>
      <c r="AC39" s="309"/>
      <c r="AD39" s="309"/>
      <c r="AE39" s="309"/>
      <c r="AF39" s="317"/>
    </row>
    <row r="40" spans="1:32" ht="24.95" customHeight="1">
      <c r="A40" s="313"/>
      <c r="B40" s="250">
        <v>13</v>
      </c>
      <c r="C40" s="1144" t="s">
        <v>3417</v>
      </c>
      <c r="D40" s="1144"/>
      <c r="E40" s="1144"/>
      <c r="F40" s="1144"/>
      <c r="G40" s="1144"/>
      <c r="H40" s="1145"/>
      <c r="I40" s="1741" t="s">
        <v>3412</v>
      </c>
      <c r="J40" s="1735"/>
      <c r="K40" s="1735"/>
      <c r="L40" s="1735"/>
      <c r="M40" s="1735"/>
      <c r="N40" s="1735"/>
      <c r="O40" s="1735"/>
      <c r="P40" s="1735"/>
      <c r="Q40" s="1735"/>
      <c r="R40" s="309"/>
      <c r="S40" s="309"/>
      <c r="T40" s="309"/>
      <c r="U40" s="309"/>
      <c r="V40" s="309"/>
      <c r="W40" s="309"/>
      <c r="X40" s="309"/>
      <c r="Y40" s="309"/>
      <c r="Z40" s="309"/>
      <c r="AA40" s="309"/>
      <c r="AB40" s="309"/>
      <c r="AC40" s="309"/>
      <c r="AD40" s="309"/>
      <c r="AE40" s="309"/>
      <c r="AF40" s="317"/>
    </row>
    <row r="41" spans="1:32" ht="12.75" customHeight="1"/>
    <row r="42" spans="1:32" ht="12.95" customHeight="1">
      <c r="B42" s="16" t="s">
        <v>2</v>
      </c>
    </row>
    <row r="43" spans="1:32" ht="12.95" customHeight="1">
      <c r="B43" s="251">
        <v>1</v>
      </c>
      <c r="C43" s="192"/>
      <c r="D43" s="192" t="s">
        <v>3418</v>
      </c>
    </row>
    <row r="44" spans="1:32" ht="13.5" customHeight="1">
      <c r="A44" s="16" t="s">
        <v>3411</v>
      </c>
      <c r="N44" s="1183" t="s">
        <v>3400</v>
      </c>
      <c r="O44" s="1183"/>
      <c r="P44" s="1183"/>
      <c r="Q44" s="1183"/>
      <c r="R44" s="1183"/>
      <c r="S44" s="1183"/>
      <c r="T44" s="1183"/>
    </row>
    <row r="45" spans="1:32" ht="18.75" customHeight="1">
      <c r="A45" s="1699" t="s">
        <v>40</v>
      </c>
      <c r="B45" s="1700"/>
      <c r="C45" s="1700"/>
      <c r="D45" s="1700"/>
      <c r="E45" s="1700"/>
      <c r="F45" s="1700"/>
      <c r="G45" s="1700"/>
      <c r="H45" s="1700"/>
      <c r="I45" s="1700"/>
      <c r="J45" s="1700"/>
      <c r="K45" s="1700"/>
      <c r="L45" s="1700"/>
      <c r="M45" s="1700"/>
      <c r="N45" s="1700"/>
      <c r="O45" s="1700"/>
      <c r="P45" s="1700"/>
      <c r="Q45" s="1700"/>
      <c r="R45" s="1700"/>
      <c r="S45" s="1700"/>
      <c r="T45" s="1700"/>
      <c r="U45" s="1700"/>
      <c r="V45" s="1700"/>
      <c r="W45" s="1700"/>
      <c r="X45" s="1700"/>
      <c r="Y45" s="1700"/>
      <c r="Z45" s="1700"/>
      <c r="AA45" s="1700"/>
      <c r="AB45" s="1700"/>
      <c r="AC45" s="1700"/>
      <c r="AD45" s="1700"/>
      <c r="AE45" s="1700"/>
      <c r="AF45" s="1701"/>
    </row>
    <row r="46" spans="1:32" ht="18.75" customHeight="1">
      <c r="A46" s="1702"/>
      <c r="B46" s="1793"/>
      <c r="C46" s="1793"/>
      <c r="D46" s="1793"/>
      <c r="E46" s="1793"/>
      <c r="F46" s="1793"/>
      <c r="G46" s="1793"/>
      <c r="H46" s="1793"/>
      <c r="I46" s="1793"/>
      <c r="J46" s="1793"/>
      <c r="K46" s="1793"/>
      <c r="L46" s="1793"/>
      <c r="M46" s="1793"/>
      <c r="N46" s="1793"/>
      <c r="O46" s="1793"/>
      <c r="P46" s="1793"/>
      <c r="Q46" s="1793"/>
      <c r="R46" s="1793"/>
      <c r="S46" s="1793"/>
      <c r="T46" s="1793"/>
      <c r="U46" s="1793"/>
      <c r="V46" s="1793"/>
      <c r="W46" s="1793"/>
      <c r="X46" s="1793"/>
      <c r="Y46" s="1793"/>
      <c r="Z46" s="1794" t="str">
        <f>Z3</f>
        <v>令和　年　月　日</v>
      </c>
      <c r="AA46" s="1795"/>
      <c r="AB46" s="1795"/>
      <c r="AC46" s="1795"/>
      <c r="AD46" s="1795"/>
      <c r="AE46" s="1795"/>
      <c r="AF46" s="1750"/>
    </row>
    <row r="47" spans="1:32" ht="12.75" customHeight="1">
      <c r="A47" s="1702"/>
      <c r="B47" s="1793"/>
      <c r="C47" s="1793"/>
      <c r="D47" s="1793"/>
      <c r="E47" s="1793"/>
      <c r="F47" s="1793"/>
      <c r="G47" s="1793"/>
      <c r="H47" s="1793"/>
      <c r="I47" s="1793"/>
      <c r="J47" s="1793"/>
      <c r="K47" s="1793"/>
      <c r="L47" s="1793"/>
      <c r="M47" s="1793"/>
      <c r="N47" s="1793"/>
      <c r="O47" s="1793"/>
      <c r="P47" s="1793"/>
      <c r="Q47" s="1793"/>
      <c r="R47" s="1793"/>
      <c r="S47" s="1793"/>
      <c r="T47" s="1793"/>
      <c r="U47" s="1793"/>
      <c r="V47" s="1793"/>
      <c r="W47" s="1793"/>
      <c r="X47" s="1793"/>
      <c r="Y47" s="1793"/>
      <c r="Z47" s="1793"/>
      <c r="AA47" s="1793"/>
      <c r="AB47" s="1793"/>
      <c r="AC47" s="1793"/>
      <c r="AD47" s="1793"/>
      <c r="AE47" s="1793"/>
      <c r="AF47" s="1698"/>
    </row>
    <row r="48" spans="1:32" ht="15.95" customHeight="1">
      <c r="A48" s="1702"/>
      <c r="B48" s="1793"/>
      <c r="C48" s="1793"/>
      <c r="D48" s="1793"/>
      <c r="E48" s="1793"/>
      <c r="F48" s="1793"/>
      <c r="G48" s="1793"/>
      <c r="H48" s="1793"/>
      <c r="I48" s="1793"/>
      <c r="J48" s="1793"/>
      <c r="K48" s="1793"/>
      <c r="L48" s="1793"/>
      <c r="M48" s="1793"/>
      <c r="N48" s="1793"/>
      <c r="O48" s="1793"/>
      <c r="P48" s="1793"/>
      <c r="Q48" s="1793"/>
      <c r="R48" s="1796" t="s">
        <v>3344</v>
      </c>
      <c r="S48" s="1797" t="str">
        <f>IF(S5="","",S5)</f>
        <v/>
      </c>
      <c r="T48" s="1797"/>
      <c r="U48" s="1797"/>
      <c r="V48" s="1797"/>
      <c r="W48" s="1797"/>
      <c r="X48" s="1797"/>
      <c r="Y48" s="1793"/>
      <c r="Z48" s="1793"/>
      <c r="AA48" s="1793"/>
      <c r="AB48" s="1793"/>
      <c r="AC48" s="1793"/>
      <c r="AD48" s="1793"/>
      <c r="AE48" s="1793"/>
      <c r="AF48" s="1698"/>
    </row>
    <row r="49" spans="1:32" ht="12" customHeight="1">
      <c r="A49" s="1702"/>
      <c r="B49" s="1793"/>
      <c r="C49" s="1793"/>
      <c r="D49" s="1793"/>
      <c r="E49" s="1793"/>
      <c r="F49" s="1793"/>
      <c r="G49" s="1793"/>
      <c r="H49" s="1793"/>
      <c r="I49" s="1793"/>
      <c r="J49" s="1793"/>
      <c r="K49" s="1793"/>
      <c r="L49" s="1793"/>
      <c r="M49" s="1793"/>
      <c r="N49" s="1793"/>
      <c r="O49" s="1793"/>
      <c r="P49" s="1798" t="s">
        <v>234</v>
      </c>
      <c r="Q49" s="1793"/>
      <c r="R49" s="1798" t="s">
        <v>261</v>
      </c>
      <c r="S49" s="1797" t="str">
        <f>IF(S6="","",S6)</f>
        <v/>
      </c>
      <c r="T49" s="1797"/>
      <c r="U49" s="1797"/>
      <c r="V49" s="1797"/>
      <c r="W49" s="1797"/>
      <c r="X49" s="1797"/>
      <c r="Y49" s="1797"/>
      <c r="Z49" s="1797"/>
      <c r="AA49" s="1797"/>
      <c r="AB49" s="1797"/>
      <c r="AC49" s="1797"/>
      <c r="AD49" s="1797"/>
      <c r="AE49" s="1797"/>
      <c r="AF49" s="1751"/>
    </row>
    <row r="50" spans="1:32" ht="15.75" customHeight="1">
      <c r="A50" s="1702"/>
      <c r="B50" s="1793"/>
      <c r="C50" s="1793"/>
      <c r="D50" s="1793"/>
      <c r="E50" s="1793"/>
      <c r="F50" s="1793"/>
      <c r="G50" s="1793"/>
      <c r="H50" s="1793"/>
      <c r="I50" s="1793"/>
      <c r="J50" s="1793"/>
      <c r="K50" s="1793"/>
      <c r="L50" s="1793"/>
      <c r="M50" s="1793"/>
      <c r="N50" s="1793"/>
      <c r="O50" s="1793"/>
      <c r="P50" s="1793"/>
      <c r="Q50" s="1793"/>
      <c r="R50" s="1798" t="s">
        <v>247</v>
      </c>
      <c r="S50" s="1797" t="str">
        <f>IF(S7="","",S7)</f>
        <v/>
      </c>
      <c r="T50" s="1797"/>
      <c r="U50" s="1797"/>
      <c r="V50" s="1797"/>
      <c r="W50" s="1797"/>
      <c r="X50" s="1797"/>
      <c r="Y50" s="1797"/>
      <c r="Z50" s="1797"/>
      <c r="AA50" s="1797"/>
      <c r="AB50" s="1797"/>
      <c r="AC50" s="1797"/>
      <c r="AD50" s="1797"/>
      <c r="AE50" s="1797"/>
      <c r="AF50" s="1704"/>
    </row>
    <row r="51" spans="1:32" ht="13.5" customHeight="1">
      <c r="A51" s="1702"/>
      <c r="B51" s="1793"/>
      <c r="C51" s="1793"/>
      <c r="D51" s="1793"/>
      <c r="E51" s="1793"/>
      <c r="F51" s="1793"/>
      <c r="G51" s="1793"/>
      <c r="H51" s="1793"/>
      <c r="I51" s="1793"/>
      <c r="J51" s="1793"/>
      <c r="K51" s="1793"/>
      <c r="L51" s="1793"/>
      <c r="M51" s="1793"/>
      <c r="N51" s="1793"/>
      <c r="O51" s="1793"/>
      <c r="P51" s="1793"/>
      <c r="Q51" s="1793"/>
      <c r="R51" s="1793"/>
      <c r="S51" s="1797" t="str">
        <f>IF(S8="","",S8)</f>
        <v/>
      </c>
      <c r="T51" s="1797"/>
      <c r="U51" s="1797"/>
      <c r="V51" s="1797"/>
      <c r="W51" s="1797"/>
      <c r="X51" s="1797"/>
      <c r="Y51" s="1797"/>
      <c r="Z51" s="1797"/>
      <c r="AA51" s="1797"/>
      <c r="AB51" s="1797"/>
      <c r="AC51" s="1797"/>
      <c r="AD51" s="1797"/>
      <c r="AE51" s="1797"/>
      <c r="AF51" s="1698"/>
    </row>
    <row r="52" spans="1:32" ht="13.5" customHeight="1">
      <c r="A52" s="1702"/>
      <c r="B52" s="1793"/>
      <c r="C52" s="1793"/>
      <c r="D52" s="1793"/>
      <c r="E52" s="1793"/>
      <c r="F52" s="1793"/>
      <c r="G52" s="1793"/>
      <c r="H52" s="1793"/>
      <c r="I52" s="1793"/>
      <c r="J52" s="1793"/>
      <c r="K52" s="1793"/>
      <c r="L52" s="1793"/>
      <c r="M52" s="1793"/>
      <c r="N52" s="1793"/>
      <c r="O52" s="1793"/>
      <c r="P52" s="1793"/>
      <c r="Q52" s="1793"/>
      <c r="R52" s="1793"/>
      <c r="S52" s="1797" t="str">
        <f>IF(S9="","",S9)</f>
        <v/>
      </c>
      <c r="T52" s="1797"/>
      <c r="U52" s="1797"/>
      <c r="V52" s="1797"/>
      <c r="W52" s="1797"/>
      <c r="X52" s="1797"/>
      <c r="Y52" s="1797"/>
      <c r="Z52" s="1797"/>
      <c r="AA52" s="1797"/>
      <c r="AB52" s="1797"/>
      <c r="AC52" s="1797"/>
      <c r="AD52" s="1797"/>
      <c r="AE52" s="1797"/>
      <c r="AF52" s="1698"/>
    </row>
    <row r="53" spans="1:32" ht="13.5" customHeight="1">
      <c r="A53" s="1702"/>
      <c r="B53" s="1793"/>
      <c r="C53" s="1793"/>
      <c r="D53" s="1793"/>
      <c r="E53" s="1793"/>
      <c r="F53" s="1793"/>
      <c r="G53" s="1793"/>
      <c r="H53" s="1793"/>
      <c r="I53" s="1793"/>
      <c r="J53" s="1793"/>
      <c r="K53" s="1793"/>
      <c r="L53" s="1793"/>
      <c r="M53" s="1793"/>
      <c r="N53" s="1793"/>
      <c r="O53" s="1793"/>
      <c r="P53" s="1793"/>
      <c r="Q53" s="1793"/>
      <c r="R53" s="1793"/>
      <c r="S53" s="1797" t="str">
        <f>IF(S10="","",S10)</f>
        <v/>
      </c>
      <c r="T53" s="1797"/>
      <c r="U53" s="1797"/>
      <c r="V53" s="1797"/>
      <c r="W53" s="1797"/>
      <c r="X53" s="1797"/>
      <c r="Y53" s="1797"/>
      <c r="Z53" s="1797"/>
      <c r="AA53" s="1797"/>
      <c r="AB53" s="1797"/>
      <c r="AC53" s="1797"/>
      <c r="AD53" s="1797"/>
      <c r="AE53" s="1797"/>
      <c r="AF53" s="1698"/>
    </row>
    <row r="54" spans="1:32" ht="13.5" customHeight="1">
      <c r="A54" s="1702"/>
      <c r="B54" s="1793"/>
      <c r="C54" s="1793"/>
      <c r="D54" s="1793"/>
      <c r="E54" s="1793"/>
      <c r="F54" s="1793"/>
      <c r="G54" s="1793"/>
      <c r="H54" s="1793"/>
      <c r="I54" s="1793"/>
      <c r="J54" s="1793"/>
      <c r="K54" s="1793"/>
      <c r="L54" s="1793"/>
      <c r="M54" s="1793"/>
      <c r="N54" s="1793"/>
      <c r="O54" s="1793"/>
      <c r="P54" s="1793"/>
      <c r="Q54" s="1793"/>
      <c r="R54" s="1793"/>
      <c r="S54" s="1797" t="str">
        <f>IF(S11="","",S11)</f>
        <v/>
      </c>
      <c r="T54" s="1797"/>
      <c r="U54" s="1797"/>
      <c r="V54" s="1797"/>
      <c r="W54" s="1797"/>
      <c r="X54" s="1797"/>
      <c r="Y54" s="1797"/>
      <c r="Z54" s="1797"/>
      <c r="AA54" s="1797"/>
      <c r="AB54" s="1797"/>
      <c r="AC54" s="1797"/>
      <c r="AD54" s="1797"/>
      <c r="AE54" s="1797"/>
      <c r="AF54" s="1698"/>
    </row>
    <row r="55" spans="1:32" ht="15.95" customHeight="1">
      <c r="A55" s="1702"/>
      <c r="B55" s="1793"/>
      <c r="C55" s="1793"/>
      <c r="D55" s="1793"/>
      <c r="E55" s="1793"/>
      <c r="F55" s="1793"/>
      <c r="G55" s="1793"/>
      <c r="H55" s="1793"/>
      <c r="I55" s="1793"/>
      <c r="J55" s="1793"/>
      <c r="K55" s="1793"/>
      <c r="L55" s="1793"/>
      <c r="M55" s="1793"/>
      <c r="N55" s="1793"/>
      <c r="O55" s="1793"/>
      <c r="P55" s="1793"/>
      <c r="Q55" s="1793"/>
      <c r="R55" s="1798" t="s">
        <v>264</v>
      </c>
      <c r="S55" s="1797" t="str">
        <f>IF(S12="","",S12)</f>
        <v/>
      </c>
      <c r="T55" s="1797"/>
      <c r="U55" s="1797"/>
      <c r="V55" s="1797"/>
      <c r="W55" s="1797"/>
      <c r="X55" s="1797"/>
      <c r="Y55" s="1797"/>
      <c r="Z55" s="1797"/>
      <c r="AA55" s="1797"/>
      <c r="AB55" s="1797"/>
      <c r="AC55" s="1797"/>
      <c r="AD55" s="1797"/>
      <c r="AE55" s="1797"/>
      <c r="AF55" s="1751"/>
    </row>
    <row r="56" spans="1:32" ht="15.6" customHeight="1">
      <c r="A56" s="1702"/>
      <c r="B56" s="1793" t="s">
        <v>3413</v>
      </c>
      <c r="C56" s="1793"/>
      <c r="D56" s="1793"/>
      <c r="E56" s="1793"/>
      <c r="F56" s="1793"/>
      <c r="G56" s="1793"/>
      <c r="H56" s="1793"/>
      <c r="I56" s="1793"/>
      <c r="J56" s="1793"/>
      <c r="K56" s="1793"/>
      <c r="L56" s="1793"/>
      <c r="M56" s="1793"/>
      <c r="N56" s="1793"/>
      <c r="O56" s="1793"/>
      <c r="P56" s="1793"/>
      <c r="Q56" s="1793"/>
      <c r="R56" s="1793"/>
      <c r="S56" s="1793"/>
      <c r="T56" s="1793"/>
      <c r="U56" s="1793"/>
      <c r="V56" s="1793"/>
      <c r="W56" s="1793"/>
      <c r="X56" s="1793"/>
      <c r="Y56" s="1793"/>
      <c r="Z56" s="1793"/>
      <c r="AA56" s="1793"/>
      <c r="AB56" s="1793"/>
      <c r="AC56" s="1793"/>
      <c r="AD56" s="1793"/>
      <c r="AE56" s="1793"/>
      <c r="AF56" s="1698"/>
    </row>
    <row r="57" spans="1:32" ht="14.45" customHeight="1">
      <c r="A57" s="1705" t="s">
        <v>3346</v>
      </c>
      <c r="B57" s="1706"/>
      <c r="C57" s="1706"/>
      <c r="D57" s="1706"/>
      <c r="E57" s="1706"/>
      <c r="F57" s="1706"/>
      <c r="G57" s="1706"/>
      <c r="H57" s="1706"/>
      <c r="I57" s="1706"/>
      <c r="J57" s="1706"/>
      <c r="K57" s="1706"/>
      <c r="L57" s="1706"/>
      <c r="M57" s="1706"/>
      <c r="N57" s="1706"/>
      <c r="O57" s="1706"/>
      <c r="P57" s="1706"/>
      <c r="Q57" s="1706"/>
      <c r="R57" s="1706"/>
      <c r="S57" s="1706"/>
      <c r="T57" s="1706"/>
      <c r="U57" s="1706"/>
      <c r="V57" s="1706"/>
      <c r="W57" s="1706"/>
      <c r="X57" s="1706"/>
      <c r="Y57" s="1706"/>
      <c r="Z57" s="1706"/>
      <c r="AA57" s="1706"/>
      <c r="AB57" s="1706"/>
      <c r="AC57" s="1706"/>
      <c r="AD57" s="1706"/>
      <c r="AE57" s="1706"/>
      <c r="AF57" s="1707"/>
    </row>
    <row r="58" spans="1:32" ht="20.100000000000001" customHeight="1">
      <c r="A58" s="1708"/>
      <c r="B58" s="1709">
        <v>1</v>
      </c>
      <c r="C58" s="1710" t="s">
        <v>3414</v>
      </c>
      <c r="D58" s="1710"/>
      <c r="E58" s="1710"/>
      <c r="F58" s="1710"/>
      <c r="G58" s="1710"/>
      <c r="H58" s="1711"/>
      <c r="I58" s="1745"/>
      <c r="J58" s="1746"/>
      <c r="K58" s="1748" t="s">
        <v>3868</v>
      </c>
      <c r="L58" s="1753" t="str">
        <f>IF(L15="","",L15)</f>
        <v/>
      </c>
      <c r="M58" s="1753"/>
      <c r="N58" s="1749" t="s">
        <v>3869</v>
      </c>
      <c r="O58" s="1749"/>
      <c r="P58" s="1749"/>
      <c r="Q58" s="1753" t="str">
        <f>IF(Q15="","",Q15)</f>
        <v/>
      </c>
      <c r="R58" s="1753"/>
      <c r="S58" s="1753"/>
      <c r="T58" s="1747" t="s">
        <v>3870</v>
      </c>
      <c r="U58" s="1742"/>
      <c r="V58" s="1742"/>
      <c r="W58" s="1742"/>
      <c r="X58" s="1742"/>
      <c r="Y58" s="1754" t="str">
        <f>IF(Y15="","",Y15)</f>
        <v>令和　　年　　月　　　日</v>
      </c>
      <c r="Z58" s="1754"/>
      <c r="AA58" s="1754"/>
      <c r="AB58" s="1754"/>
      <c r="AC58" s="1754"/>
      <c r="AD58" s="1754"/>
      <c r="AE58" s="1754"/>
      <c r="AF58" s="1755"/>
    </row>
    <row r="59" spans="1:32" ht="20.100000000000001" customHeight="1">
      <c r="A59" s="1702"/>
      <c r="B59" s="1799"/>
      <c r="C59" s="1800"/>
      <c r="D59" s="1800"/>
      <c r="E59" s="1800"/>
      <c r="F59" s="1800"/>
      <c r="G59" s="1800"/>
      <c r="H59" s="1713"/>
      <c r="I59" s="1743"/>
      <c r="J59" s="1744"/>
      <c r="K59" s="1744"/>
      <c r="L59" s="1744"/>
      <c r="M59" s="1744"/>
      <c r="N59" s="1744"/>
      <c r="O59" s="1744"/>
      <c r="P59" s="1744"/>
      <c r="Q59" s="1744"/>
      <c r="R59" s="1744"/>
      <c r="S59" s="1744"/>
      <c r="T59" s="1744"/>
      <c r="U59" s="1744"/>
      <c r="V59" s="1744"/>
      <c r="W59" s="1744"/>
      <c r="X59" s="1744"/>
      <c r="Y59" s="1756"/>
      <c r="Z59" s="1756"/>
      <c r="AA59" s="1756"/>
      <c r="AB59" s="1756"/>
      <c r="AC59" s="1756"/>
      <c r="AD59" s="1756"/>
      <c r="AE59" s="1756"/>
      <c r="AF59" s="1757"/>
    </row>
    <row r="60" spans="1:32" ht="15" customHeight="1">
      <c r="A60" s="1708"/>
      <c r="B60" s="1709">
        <v>2</v>
      </c>
      <c r="C60" s="1709" t="s">
        <v>3349</v>
      </c>
      <c r="D60" s="1709"/>
      <c r="E60" s="1709"/>
      <c r="F60" s="1709"/>
      <c r="G60" s="1709"/>
      <c r="H60" s="1714"/>
      <c r="I60" s="1758" t="str">
        <f>IF(I17="","",I17)</f>
        <v/>
      </c>
      <c r="J60" s="1759"/>
      <c r="K60" s="1759"/>
      <c r="L60" s="1759"/>
      <c r="M60" s="1759"/>
      <c r="N60" s="1759"/>
      <c r="O60" s="1759"/>
      <c r="P60" s="1759"/>
      <c r="Q60" s="1759"/>
      <c r="R60" s="1759"/>
      <c r="S60" s="1759"/>
      <c r="T60" s="1759"/>
      <c r="U60" s="1759"/>
      <c r="V60" s="1759"/>
      <c r="W60" s="1759"/>
      <c r="X60" s="1759"/>
      <c r="Y60" s="1759"/>
      <c r="Z60" s="1759"/>
      <c r="AA60" s="1759"/>
      <c r="AB60" s="1759"/>
      <c r="AC60" s="1759"/>
      <c r="AD60" s="1759"/>
      <c r="AE60" s="1759"/>
      <c r="AF60" s="1760"/>
    </row>
    <row r="61" spans="1:32" ht="15" customHeight="1">
      <c r="A61" s="1702"/>
      <c r="B61" s="1799"/>
      <c r="C61" s="1799"/>
      <c r="D61" s="1799"/>
      <c r="E61" s="1799"/>
      <c r="F61" s="1799"/>
      <c r="G61" s="1799"/>
      <c r="H61" s="1703"/>
      <c r="I61" s="1761"/>
      <c r="J61" s="1801"/>
      <c r="K61" s="1801"/>
      <c r="L61" s="1801"/>
      <c r="M61" s="1801"/>
      <c r="N61" s="1801"/>
      <c r="O61" s="1801"/>
      <c r="P61" s="1801"/>
      <c r="Q61" s="1801"/>
      <c r="R61" s="1801"/>
      <c r="S61" s="1801"/>
      <c r="T61" s="1801"/>
      <c r="U61" s="1801"/>
      <c r="V61" s="1801"/>
      <c r="W61" s="1801"/>
      <c r="X61" s="1801"/>
      <c r="Y61" s="1801"/>
      <c r="Z61" s="1801"/>
      <c r="AA61" s="1801"/>
      <c r="AB61" s="1801"/>
      <c r="AC61" s="1801"/>
      <c r="AD61" s="1801"/>
      <c r="AE61" s="1801"/>
      <c r="AF61" s="1762"/>
    </row>
    <row r="62" spans="1:32" ht="15" customHeight="1">
      <c r="A62" s="1702"/>
      <c r="B62" s="1799"/>
      <c r="C62" s="1799"/>
      <c r="D62" s="1799"/>
      <c r="E62" s="1799"/>
      <c r="F62" s="1799"/>
      <c r="G62" s="1799"/>
      <c r="H62" s="1703"/>
      <c r="I62" s="1761"/>
      <c r="J62" s="1801"/>
      <c r="K62" s="1801"/>
      <c r="L62" s="1801"/>
      <c r="M62" s="1801"/>
      <c r="N62" s="1801"/>
      <c r="O62" s="1801"/>
      <c r="P62" s="1801"/>
      <c r="Q62" s="1801"/>
      <c r="R62" s="1801"/>
      <c r="S62" s="1801"/>
      <c r="T62" s="1801"/>
      <c r="U62" s="1801"/>
      <c r="V62" s="1801"/>
      <c r="W62" s="1801"/>
      <c r="X62" s="1801"/>
      <c r="Y62" s="1801"/>
      <c r="Z62" s="1801"/>
      <c r="AA62" s="1801"/>
      <c r="AB62" s="1801"/>
      <c r="AC62" s="1801"/>
      <c r="AD62" s="1801"/>
      <c r="AE62" s="1801"/>
      <c r="AF62" s="1762"/>
    </row>
    <row r="63" spans="1:32" ht="15" customHeight="1">
      <c r="A63" s="1715"/>
      <c r="B63" s="1706"/>
      <c r="C63" s="1706"/>
      <c r="D63" s="1706"/>
      <c r="E63" s="1706"/>
      <c r="F63" s="1706"/>
      <c r="G63" s="1706"/>
      <c r="H63" s="1707"/>
      <c r="I63" s="1763"/>
      <c r="J63" s="1764"/>
      <c r="K63" s="1764"/>
      <c r="L63" s="1764"/>
      <c r="M63" s="1764"/>
      <c r="N63" s="1764"/>
      <c r="O63" s="1764"/>
      <c r="P63" s="1764"/>
      <c r="Q63" s="1764"/>
      <c r="R63" s="1764"/>
      <c r="S63" s="1764"/>
      <c r="T63" s="1764"/>
      <c r="U63" s="1764"/>
      <c r="V63" s="1764"/>
      <c r="W63" s="1764"/>
      <c r="X63" s="1764"/>
      <c r="Y63" s="1764"/>
      <c r="Z63" s="1764"/>
      <c r="AA63" s="1764"/>
      <c r="AB63" s="1764"/>
      <c r="AC63" s="1764"/>
      <c r="AD63" s="1764"/>
      <c r="AE63" s="1764"/>
      <c r="AF63" s="1765"/>
    </row>
    <row r="64" spans="1:32" ht="23.1" customHeight="1">
      <c r="A64" s="1715"/>
      <c r="B64" s="1716">
        <v>3</v>
      </c>
      <c r="C64" s="1706" t="s">
        <v>3366</v>
      </c>
      <c r="D64" s="1706"/>
      <c r="E64" s="1706"/>
      <c r="F64" s="1706"/>
      <c r="G64" s="1706"/>
      <c r="H64" s="1707"/>
      <c r="I64" s="1766" t="str">
        <f>IF(I21="","",I21)</f>
        <v/>
      </c>
      <c r="J64" s="1767"/>
      <c r="K64" s="1767"/>
      <c r="L64" s="1767"/>
      <c r="M64" s="1767"/>
      <c r="N64" s="1767"/>
      <c r="O64" s="1767"/>
      <c r="P64" s="1767"/>
      <c r="Q64" s="1767"/>
      <c r="R64" s="1767"/>
      <c r="S64" s="1767"/>
      <c r="T64" s="1767"/>
      <c r="U64" s="1767"/>
      <c r="V64" s="1767"/>
      <c r="W64" s="1767"/>
      <c r="X64" s="1767"/>
      <c r="Y64" s="1767"/>
      <c r="Z64" s="1767"/>
      <c r="AA64" s="1767"/>
      <c r="AB64" s="1767"/>
      <c r="AC64" s="1767"/>
      <c r="AD64" s="1767"/>
      <c r="AE64" s="1767"/>
      <c r="AF64" s="1768"/>
    </row>
    <row r="65" spans="1:32" ht="19.350000000000001" customHeight="1">
      <c r="A65" s="1708"/>
      <c r="B65" s="1709">
        <v>4</v>
      </c>
      <c r="C65" s="1709" t="s">
        <v>3367</v>
      </c>
      <c r="D65" s="1709"/>
      <c r="E65" s="1709"/>
      <c r="F65" s="1709"/>
      <c r="G65" s="1709"/>
      <c r="H65" s="1714"/>
      <c r="I65" s="1802" t="str">
        <f>I22</f>
        <v>□</v>
      </c>
      <c r="J65" s="1717" t="s">
        <v>3368</v>
      </c>
      <c r="K65" s="1717"/>
      <c r="L65" s="1717"/>
      <c r="M65" s="1717"/>
      <c r="N65" s="1717"/>
      <c r="O65" s="1717"/>
      <c r="P65" s="1717"/>
      <c r="Q65" s="1717"/>
      <c r="R65" s="1717"/>
      <c r="S65" s="1717"/>
      <c r="T65" s="1717"/>
      <c r="U65" s="1717"/>
      <c r="V65" s="1717"/>
      <c r="W65" s="1717"/>
      <c r="X65" s="1717"/>
      <c r="Y65" s="1717"/>
      <c r="Z65" s="1717"/>
      <c r="AA65" s="1717"/>
      <c r="AB65" s="1717"/>
      <c r="AC65" s="1717"/>
      <c r="AD65" s="1717"/>
      <c r="AE65" s="1717"/>
      <c r="AF65" s="1718"/>
    </row>
    <row r="66" spans="1:32" ht="19.350000000000001" customHeight="1">
      <c r="A66" s="1702"/>
      <c r="B66" s="1799"/>
      <c r="C66" s="1799"/>
      <c r="D66" s="1799"/>
      <c r="E66" s="1799"/>
      <c r="F66" s="1799"/>
      <c r="G66" s="1799"/>
      <c r="H66" s="1703"/>
      <c r="I66" s="1802" t="str">
        <f>I23</f>
        <v>□</v>
      </c>
      <c r="J66" s="1793" t="s">
        <v>3369</v>
      </c>
      <c r="K66" s="1793"/>
      <c r="L66" s="1793"/>
      <c r="M66" s="1793"/>
      <c r="N66" s="1793"/>
      <c r="O66" s="1793"/>
      <c r="P66" s="1793"/>
      <c r="Q66" s="1793"/>
      <c r="R66" s="1793"/>
      <c r="S66" s="1793"/>
      <c r="T66" s="1793"/>
      <c r="U66" s="1793"/>
      <c r="V66" s="1793"/>
      <c r="W66" s="1793"/>
      <c r="X66" s="1793"/>
      <c r="Y66" s="1793"/>
      <c r="Z66" s="1793"/>
      <c r="AA66" s="1793"/>
      <c r="AB66" s="1793"/>
      <c r="AC66" s="1793"/>
      <c r="AD66" s="1793"/>
      <c r="AE66" s="1793"/>
      <c r="AF66" s="1698"/>
    </row>
    <row r="67" spans="1:32" ht="19.350000000000001" customHeight="1">
      <c r="A67" s="1715"/>
      <c r="B67" s="1706"/>
      <c r="C67" s="1706"/>
      <c r="D67" s="1706"/>
      <c r="E67" s="1706"/>
      <c r="F67" s="1706"/>
      <c r="G67" s="1706"/>
      <c r="H67" s="1707"/>
      <c r="I67" s="1715"/>
      <c r="J67" s="1696" t="s">
        <v>3370</v>
      </c>
      <c r="K67" s="1696"/>
      <c r="L67" s="1696"/>
      <c r="M67" s="1769" t="str">
        <f>IF(M24="","",M24)</f>
        <v/>
      </c>
      <c r="N67" s="1769"/>
      <c r="O67" s="1769"/>
      <c r="P67" s="1769"/>
      <c r="Q67" s="1769"/>
      <c r="R67" s="1769"/>
      <c r="S67" s="1769"/>
      <c r="T67" s="1769"/>
      <c r="U67" s="1769"/>
      <c r="V67" s="1696" t="s">
        <v>3371</v>
      </c>
      <c r="W67" s="1696"/>
      <c r="X67" s="1769" t="str">
        <f>IF(X24="","",X24)</f>
        <v>令和　  　年  　　月　　  日</v>
      </c>
      <c r="Y67" s="1769"/>
      <c r="Z67" s="1769"/>
      <c r="AA67" s="1769"/>
      <c r="AB67" s="1769"/>
      <c r="AC67" s="1769"/>
      <c r="AD67" s="1769"/>
      <c r="AE67" s="1769"/>
      <c r="AF67" s="1770"/>
    </row>
    <row r="68" spans="1:32" ht="23.1" customHeight="1">
      <c r="A68" s="1719"/>
      <c r="B68" s="1720">
        <v>5</v>
      </c>
      <c r="C68" s="1721" t="s">
        <v>3372</v>
      </c>
      <c r="D68" s="1721"/>
      <c r="E68" s="1721"/>
      <c r="F68" s="1721"/>
      <c r="G68" s="1721"/>
      <c r="H68" s="1722"/>
      <c r="I68" s="1766"/>
      <c r="J68" s="1767"/>
      <c r="K68" s="1767"/>
      <c r="L68" s="1767"/>
      <c r="M68" s="1767"/>
      <c r="N68" s="1767"/>
      <c r="O68" s="1767"/>
      <c r="P68" s="1767"/>
      <c r="Q68" s="1767"/>
      <c r="R68" s="1767"/>
      <c r="S68" s="1767"/>
      <c r="T68" s="1767"/>
      <c r="U68" s="1767"/>
      <c r="V68" s="1767"/>
      <c r="W68" s="1767"/>
      <c r="X68" s="1767"/>
      <c r="Y68" s="1767"/>
      <c r="Z68" s="1767"/>
      <c r="AA68" s="1767"/>
      <c r="AB68" s="1767"/>
      <c r="AC68" s="1767"/>
      <c r="AD68" s="1767"/>
      <c r="AE68" s="1723"/>
      <c r="AF68" s="1724" t="s">
        <v>3373</v>
      </c>
    </row>
    <row r="69" spans="1:32" ht="20.85" customHeight="1">
      <c r="A69" s="1708"/>
      <c r="B69" s="1709">
        <v>6</v>
      </c>
      <c r="C69" s="1709" t="s">
        <v>3374</v>
      </c>
      <c r="D69" s="1709"/>
      <c r="E69" s="1709"/>
      <c r="F69" s="1709"/>
      <c r="G69" s="1709"/>
      <c r="H69" s="1714"/>
      <c r="I69" s="1771"/>
      <c r="J69" s="1772"/>
      <c r="K69" s="1772"/>
      <c r="L69" s="1772"/>
      <c r="M69" s="1772"/>
      <c r="N69" s="1772"/>
      <c r="O69" s="1772"/>
      <c r="P69" s="1772"/>
      <c r="Q69" s="1772"/>
      <c r="R69" s="1772"/>
      <c r="S69" s="1717"/>
      <c r="T69" s="1725" t="s">
        <v>3375</v>
      </c>
      <c r="U69" s="1712" t="s">
        <v>3415</v>
      </c>
      <c r="V69" s="1709"/>
      <c r="W69" s="1709"/>
      <c r="X69" s="1709"/>
      <c r="Y69" s="1714"/>
      <c r="Z69" s="1717" t="s">
        <v>3377</v>
      </c>
      <c r="AA69" s="1717"/>
      <c r="AB69" s="1717"/>
      <c r="AC69" s="1753"/>
      <c r="AD69" s="1753"/>
      <c r="AE69" s="1753"/>
      <c r="AF69" s="1774"/>
    </row>
    <row r="70" spans="1:32" ht="20.85" customHeight="1">
      <c r="A70" s="1715"/>
      <c r="B70" s="1706"/>
      <c r="C70" s="1706"/>
      <c r="D70" s="1706"/>
      <c r="E70" s="1706"/>
      <c r="F70" s="1706"/>
      <c r="G70" s="1706"/>
      <c r="H70" s="1707"/>
      <c r="I70" s="1715" t="s">
        <v>3378</v>
      </c>
      <c r="J70" s="1696"/>
      <c r="K70" s="1696"/>
      <c r="L70" s="1696"/>
      <c r="M70" s="1773"/>
      <c r="N70" s="1773"/>
      <c r="O70" s="1773"/>
      <c r="P70" s="1773"/>
      <c r="Q70" s="1696"/>
      <c r="R70" s="1696"/>
      <c r="S70" s="1696"/>
      <c r="T70" s="1726" t="s">
        <v>3379</v>
      </c>
      <c r="U70" s="1705"/>
      <c r="V70" s="1706"/>
      <c r="W70" s="1706"/>
      <c r="X70" s="1706"/>
      <c r="Y70" s="1707"/>
      <c r="Z70" s="1773"/>
      <c r="AA70" s="1773"/>
      <c r="AB70" s="1773"/>
      <c r="AC70" s="1696"/>
      <c r="AD70" s="1696"/>
      <c r="AE70" s="1696"/>
      <c r="AF70" s="1726" t="s">
        <v>3380</v>
      </c>
    </row>
    <row r="71" spans="1:32" ht="21" customHeight="1">
      <c r="A71" s="1708"/>
      <c r="B71" s="1709">
        <v>8</v>
      </c>
      <c r="C71" s="1710" t="s">
        <v>3389</v>
      </c>
      <c r="D71" s="1709"/>
      <c r="E71" s="1709"/>
      <c r="F71" s="1709"/>
      <c r="G71" s="1709"/>
      <c r="H71" s="1714"/>
      <c r="I71" s="1752" t="str">
        <f>I28</f>
        <v>□</v>
      </c>
      <c r="J71" s="1717" t="s">
        <v>3390</v>
      </c>
      <c r="K71" s="1717"/>
      <c r="L71" s="1717"/>
      <c r="M71" s="1717"/>
      <c r="N71" s="1717"/>
      <c r="O71" s="1717"/>
      <c r="P71" s="1717"/>
      <c r="Q71" s="1717"/>
      <c r="R71" s="1717"/>
      <c r="S71" s="1717"/>
      <c r="T71" s="1717"/>
      <c r="U71" s="1717"/>
      <c r="V71" s="1717"/>
      <c r="W71" s="1717"/>
      <c r="X71" s="1717"/>
      <c r="Y71" s="1717"/>
      <c r="Z71" s="1717"/>
      <c r="AA71" s="1717"/>
      <c r="AB71" s="1717"/>
      <c r="AC71" s="1717"/>
      <c r="AD71" s="1717"/>
      <c r="AE71" s="1717"/>
      <c r="AF71" s="1718"/>
    </row>
    <row r="72" spans="1:32" ht="21" customHeight="1">
      <c r="A72" s="1702"/>
      <c r="B72" s="1799"/>
      <c r="C72" s="1799"/>
      <c r="D72" s="1799"/>
      <c r="E72" s="1799"/>
      <c r="F72" s="1799"/>
      <c r="G72" s="1799"/>
      <c r="H72" s="1703"/>
      <c r="I72" s="1802" t="str">
        <f>I29</f>
        <v>□</v>
      </c>
      <c r="J72" s="1793" t="s">
        <v>3391</v>
      </c>
      <c r="K72" s="1793"/>
      <c r="L72" s="1793"/>
      <c r="M72" s="1793"/>
      <c r="N72" s="1793"/>
      <c r="O72" s="1793"/>
      <c r="P72" s="1793"/>
      <c r="Q72" s="1793"/>
      <c r="R72" s="1793"/>
      <c r="S72" s="1793"/>
      <c r="T72" s="1793"/>
      <c r="U72" s="1793"/>
      <c r="V72" s="1793"/>
      <c r="W72" s="1793"/>
      <c r="X72" s="1793"/>
      <c r="Y72" s="1793"/>
      <c r="Z72" s="1793"/>
      <c r="AA72" s="1793"/>
      <c r="AB72" s="1793"/>
      <c r="AC72" s="1793"/>
      <c r="AD72" s="1793"/>
      <c r="AE72" s="1793"/>
      <c r="AF72" s="1698"/>
    </row>
    <row r="73" spans="1:32" ht="21" customHeight="1">
      <c r="A73" s="1715"/>
      <c r="B73" s="1706"/>
      <c r="C73" s="1706"/>
      <c r="D73" s="1706"/>
      <c r="E73" s="1706"/>
      <c r="F73" s="1706"/>
      <c r="G73" s="1706"/>
      <c r="H73" s="1707"/>
      <c r="I73" s="1696"/>
      <c r="J73" s="1696" t="s">
        <v>3392</v>
      </c>
      <c r="K73" s="1696"/>
      <c r="L73" s="1696"/>
      <c r="M73" s="1696"/>
      <c r="N73" s="1793"/>
      <c r="O73" s="1769" t="str">
        <f>IF(O30="","",O30)</f>
        <v/>
      </c>
      <c r="P73" s="1769"/>
      <c r="Q73" s="1769"/>
      <c r="R73" s="1769"/>
      <c r="S73" s="1769"/>
      <c r="T73" s="1769"/>
      <c r="U73" s="1769"/>
      <c r="V73" s="1696"/>
      <c r="W73" s="1696"/>
      <c r="X73" s="1696"/>
      <c r="Y73" s="1697" t="s">
        <v>3393</v>
      </c>
      <c r="Z73" s="1773" t="str">
        <f>IF(Z30="","",Z30)</f>
        <v>令和　  　年  　　月　　  日</v>
      </c>
      <c r="AA73" s="1773"/>
      <c r="AB73" s="1773"/>
      <c r="AC73" s="1773"/>
      <c r="AD73" s="1773"/>
      <c r="AE73" s="1773"/>
      <c r="AF73" s="1775"/>
    </row>
    <row r="74" spans="1:32" ht="32.25" customHeight="1">
      <c r="A74" s="1719"/>
      <c r="B74" s="1720">
        <v>9</v>
      </c>
      <c r="C74" s="1727" t="s">
        <v>3395</v>
      </c>
      <c r="D74" s="1721"/>
      <c r="E74" s="1721"/>
      <c r="F74" s="1721"/>
      <c r="G74" s="1721"/>
      <c r="H74" s="1722"/>
      <c r="I74" s="1719" t="s">
        <v>3370</v>
      </c>
      <c r="J74" s="1723"/>
      <c r="K74" s="1723"/>
      <c r="L74" s="1767" t="str">
        <f>IF(L31="","",L31)</f>
        <v/>
      </c>
      <c r="M74" s="1767"/>
      <c r="N74" s="1767"/>
      <c r="O74" s="1767"/>
      <c r="P74" s="1767"/>
      <c r="Q74" s="1767"/>
      <c r="R74" s="1767"/>
      <c r="S74" s="1767"/>
      <c r="T74" s="1767"/>
      <c r="U74" s="1767"/>
      <c r="V74" s="1767"/>
      <c r="W74" s="1767"/>
      <c r="X74" s="1723"/>
      <c r="Y74" s="1728" t="s">
        <v>3371</v>
      </c>
      <c r="Z74" s="1778" t="str">
        <f>IF(Z31="","",Z31)</f>
        <v>令和　  　年  　　月　　  日</v>
      </c>
      <c r="AA74" s="1778"/>
      <c r="AB74" s="1778"/>
      <c r="AC74" s="1778"/>
      <c r="AD74" s="1778"/>
      <c r="AE74" s="1778"/>
      <c r="AF74" s="1779"/>
    </row>
    <row r="75" spans="1:32" ht="19.7" customHeight="1">
      <c r="A75" s="1708"/>
      <c r="B75" s="1709">
        <v>10</v>
      </c>
      <c r="C75" s="1710" t="s">
        <v>3354</v>
      </c>
      <c r="D75" s="1710"/>
      <c r="E75" s="1710"/>
      <c r="F75" s="1710"/>
      <c r="G75" s="1710"/>
      <c r="H75" s="1711"/>
      <c r="I75" s="1780" t="str">
        <f>IF(I32="","",I32)</f>
        <v/>
      </c>
      <c r="J75" s="1781"/>
      <c r="K75" s="1781"/>
      <c r="L75" s="1781"/>
      <c r="M75" s="1781"/>
      <c r="N75" s="1781"/>
      <c r="O75" s="1781"/>
      <c r="P75" s="1781"/>
      <c r="Q75" s="1781"/>
      <c r="R75" s="1781"/>
      <c r="S75" s="1781"/>
      <c r="T75" s="1781"/>
      <c r="U75" s="1781"/>
      <c r="V75" s="1781"/>
      <c r="W75" s="1781"/>
      <c r="X75" s="1781"/>
      <c r="Y75" s="1781"/>
      <c r="Z75" s="1781"/>
      <c r="AA75" s="1781"/>
      <c r="AB75" s="1781"/>
      <c r="AC75" s="1781"/>
      <c r="AD75" s="1781"/>
      <c r="AE75" s="1781"/>
      <c r="AF75" s="1782"/>
    </row>
    <row r="76" spans="1:32" ht="19.7" customHeight="1">
      <c r="A76" s="1702"/>
      <c r="B76" s="1799"/>
      <c r="C76" s="1800"/>
      <c r="D76" s="1800"/>
      <c r="E76" s="1800"/>
      <c r="F76" s="1800"/>
      <c r="G76" s="1800"/>
      <c r="H76" s="1713"/>
      <c r="I76" s="1783" t="str">
        <f>IF(I33="","",I33)</f>
        <v/>
      </c>
      <c r="J76" s="1797"/>
      <c r="K76" s="1797"/>
      <c r="L76" s="1797"/>
      <c r="M76" s="1797"/>
      <c r="N76" s="1797"/>
      <c r="O76" s="1797"/>
      <c r="P76" s="1797"/>
      <c r="Q76" s="1797"/>
      <c r="R76" s="1797"/>
      <c r="S76" s="1797"/>
      <c r="T76" s="1793"/>
      <c r="U76" s="1798" t="s">
        <v>3341</v>
      </c>
      <c r="V76" s="1797" t="str">
        <f>IF(V33="","",V33)</f>
        <v/>
      </c>
      <c r="W76" s="1797"/>
      <c r="X76" s="1797"/>
      <c r="Y76" s="1797"/>
      <c r="Z76" s="1797"/>
      <c r="AA76" s="1797"/>
      <c r="AB76" s="1797"/>
      <c r="AC76" s="1797"/>
      <c r="AD76" s="1797"/>
      <c r="AE76" s="1797"/>
      <c r="AF76" s="1698"/>
    </row>
    <row r="77" spans="1:32" ht="19.7" customHeight="1">
      <c r="A77" s="1702"/>
      <c r="B77" s="1799"/>
      <c r="C77" s="1800"/>
      <c r="D77" s="1800"/>
      <c r="E77" s="1800"/>
      <c r="F77" s="1800"/>
      <c r="G77" s="1800"/>
      <c r="H77" s="1713"/>
      <c r="I77" s="1702" t="s">
        <v>3355</v>
      </c>
      <c r="J77" s="1793"/>
      <c r="K77" s="1793"/>
      <c r="L77" s="1793"/>
      <c r="M77" s="1795" t="str">
        <f>M34</f>
        <v>登・届</v>
      </c>
      <c r="N77" s="1795"/>
      <c r="O77" s="1796" t="s">
        <v>3177</v>
      </c>
      <c r="P77" s="1795" t="str">
        <f>IF(P34="","",P34)</f>
        <v/>
      </c>
      <c r="Q77" s="1795"/>
      <c r="R77" s="1795"/>
      <c r="S77" s="1793" t="s">
        <v>2913</v>
      </c>
      <c r="T77" s="1793" t="s">
        <v>2947</v>
      </c>
      <c r="U77" s="1795" t="str">
        <f>IF(U34="","",U34)</f>
        <v/>
      </c>
      <c r="V77" s="1795"/>
      <c r="W77" s="1795"/>
      <c r="X77" s="1795"/>
      <c r="Y77" s="1795"/>
      <c r="Z77" s="1795"/>
      <c r="AA77" s="1793" t="s">
        <v>2849</v>
      </c>
      <c r="AB77" s="1793"/>
      <c r="AC77" s="1793"/>
      <c r="AD77" s="1793"/>
      <c r="AE77" s="1793"/>
      <c r="AF77" s="1698"/>
    </row>
    <row r="78" spans="1:32" ht="19.7" customHeight="1">
      <c r="A78" s="1715"/>
      <c r="B78" s="1706"/>
      <c r="C78" s="1729"/>
      <c r="D78" s="1729"/>
      <c r="E78" s="1729"/>
      <c r="F78" s="1729"/>
      <c r="G78" s="1729"/>
      <c r="H78" s="1730"/>
      <c r="I78" s="1715"/>
      <c r="J78" s="1696"/>
      <c r="K78" s="1696"/>
      <c r="L78" s="1696"/>
      <c r="M78" s="1696"/>
      <c r="N78" s="1696"/>
      <c r="O78" s="1696"/>
      <c r="P78" s="1696"/>
      <c r="Q78" s="1696"/>
      <c r="R78" s="1696"/>
      <c r="S78" s="1696"/>
      <c r="T78" s="1696"/>
      <c r="U78" s="1696"/>
      <c r="V78" s="1696"/>
      <c r="W78" s="1697" t="s">
        <v>3358</v>
      </c>
      <c r="X78" s="1773" t="str">
        <f>IF(X35="","",X35)</f>
        <v>令和　  　年  　　月　　  日</v>
      </c>
      <c r="Y78" s="1773"/>
      <c r="Z78" s="1773"/>
      <c r="AA78" s="1773"/>
      <c r="AB78" s="1773"/>
      <c r="AC78" s="1773"/>
      <c r="AD78" s="1773"/>
      <c r="AE78" s="1773"/>
      <c r="AF78" s="1775"/>
    </row>
    <row r="79" spans="1:32" ht="20.45" customHeight="1">
      <c r="A79" s="1708"/>
      <c r="B79" s="1709">
        <v>11</v>
      </c>
      <c r="C79" s="1710" t="s">
        <v>3360</v>
      </c>
      <c r="D79" s="1710"/>
      <c r="E79" s="1710"/>
      <c r="F79" s="1710"/>
      <c r="G79" s="1710"/>
      <c r="H79" s="1711"/>
      <c r="I79" s="1780" t="str">
        <f>IF(I36="","",I36)</f>
        <v/>
      </c>
      <c r="J79" s="1781"/>
      <c r="K79" s="1781"/>
      <c r="L79" s="1781"/>
      <c r="M79" s="1781"/>
      <c r="N79" s="1781"/>
      <c r="O79" s="1781"/>
      <c r="P79" s="1781"/>
      <c r="Q79" s="1781"/>
      <c r="R79" s="1781"/>
      <c r="S79" s="1781"/>
      <c r="T79" s="1781"/>
      <c r="U79" s="1781"/>
      <c r="V79" s="1781"/>
      <c r="W79" s="1781"/>
      <c r="X79" s="1781"/>
      <c r="Y79" s="1781"/>
      <c r="Z79" s="1781"/>
      <c r="AA79" s="1781"/>
      <c r="AB79" s="1781"/>
      <c r="AC79" s="1781"/>
      <c r="AD79" s="1781"/>
      <c r="AE79" s="1781"/>
      <c r="AF79" s="1718"/>
    </row>
    <row r="80" spans="1:32" ht="20.45" customHeight="1">
      <c r="A80" s="1702"/>
      <c r="B80" s="1799"/>
      <c r="C80" s="1800"/>
      <c r="D80" s="1800"/>
      <c r="E80" s="1800"/>
      <c r="F80" s="1800"/>
      <c r="G80" s="1800"/>
      <c r="H80" s="1713"/>
      <c r="I80" s="1783" t="str">
        <f>IF(I37="","",I37)</f>
        <v/>
      </c>
      <c r="J80" s="1797"/>
      <c r="K80" s="1797"/>
      <c r="L80" s="1797"/>
      <c r="M80" s="1797"/>
      <c r="N80" s="1797"/>
      <c r="O80" s="1797"/>
      <c r="P80" s="1797"/>
      <c r="Q80" s="1797"/>
      <c r="R80" s="1797"/>
      <c r="S80" s="1797"/>
      <c r="T80" s="1793"/>
      <c r="U80" s="1798" t="s">
        <v>3341</v>
      </c>
      <c r="V80" s="1797" t="str">
        <f>IF(V37="","",V37)</f>
        <v/>
      </c>
      <c r="W80" s="1797"/>
      <c r="X80" s="1797"/>
      <c r="Y80" s="1797"/>
      <c r="Z80" s="1797"/>
      <c r="AA80" s="1797"/>
      <c r="AB80" s="1797"/>
      <c r="AC80" s="1797"/>
      <c r="AD80" s="1797"/>
      <c r="AE80" s="1797"/>
      <c r="AF80" s="1698"/>
    </row>
    <row r="81" spans="1:32" ht="20.45" customHeight="1">
      <c r="A81" s="1715"/>
      <c r="B81" s="1706"/>
      <c r="C81" s="1729"/>
      <c r="D81" s="1729"/>
      <c r="E81" s="1729"/>
      <c r="F81" s="1729"/>
      <c r="G81" s="1729"/>
      <c r="H81" s="1730"/>
      <c r="I81" s="1696" t="s">
        <v>2947</v>
      </c>
      <c r="J81" s="1773" t="str">
        <f>IF(J38="","",J38)</f>
        <v/>
      </c>
      <c r="K81" s="1773"/>
      <c r="L81" s="1773"/>
      <c r="M81" s="1773"/>
      <c r="N81" s="1773"/>
      <c r="O81" s="1773"/>
      <c r="P81" s="1696" t="s">
        <v>2849</v>
      </c>
      <c r="Q81" s="1696"/>
      <c r="R81" s="1696"/>
      <c r="S81" s="1696"/>
      <c r="T81" s="1696"/>
      <c r="U81" s="1696"/>
      <c r="V81" s="1696"/>
      <c r="W81" s="1697" t="s">
        <v>3361</v>
      </c>
      <c r="X81" s="1773" t="str">
        <f>IF(X38="","",X38)</f>
        <v>令和　  　年  　　月　　  日</v>
      </c>
      <c r="Y81" s="1773"/>
      <c r="Z81" s="1773"/>
      <c r="AA81" s="1773"/>
      <c r="AB81" s="1773"/>
      <c r="AC81" s="1773"/>
      <c r="AD81" s="1773"/>
      <c r="AE81" s="1773"/>
      <c r="AF81" s="1775"/>
    </row>
    <row r="82" spans="1:32" ht="24.95" customHeight="1">
      <c r="A82" s="1719"/>
      <c r="B82" s="1720">
        <v>12</v>
      </c>
      <c r="C82" s="1721" t="s">
        <v>3416</v>
      </c>
      <c r="D82" s="1721"/>
      <c r="E82" s="1721"/>
      <c r="F82" s="1721"/>
      <c r="G82" s="1721"/>
      <c r="H82" s="1722"/>
      <c r="I82" s="1784" t="str">
        <f>IF(I39="","",I39)</f>
        <v>令和　  　年  　　月　　  日</v>
      </c>
      <c r="J82" s="1778"/>
      <c r="K82" s="1778"/>
      <c r="L82" s="1778"/>
      <c r="M82" s="1778"/>
      <c r="N82" s="1778"/>
      <c r="O82" s="1778"/>
      <c r="P82" s="1778"/>
      <c r="Q82" s="1778"/>
      <c r="R82" s="1723"/>
      <c r="S82" s="1723"/>
      <c r="T82" s="1723"/>
      <c r="U82" s="1723"/>
      <c r="V82" s="1723"/>
      <c r="W82" s="1723"/>
      <c r="X82" s="1723"/>
      <c r="Y82" s="1723"/>
      <c r="Z82" s="1723"/>
      <c r="AA82" s="1723"/>
      <c r="AB82" s="1723"/>
      <c r="AC82" s="1723"/>
      <c r="AD82" s="1723"/>
      <c r="AE82" s="1723"/>
      <c r="AF82" s="1731"/>
    </row>
    <row r="83" spans="1:32" ht="24.95" customHeight="1">
      <c r="A83" s="1719"/>
      <c r="B83" s="1720">
        <v>13</v>
      </c>
      <c r="C83" s="1721" t="s">
        <v>3417</v>
      </c>
      <c r="D83" s="1721"/>
      <c r="E83" s="1721"/>
      <c r="F83" s="1721"/>
      <c r="G83" s="1721"/>
      <c r="H83" s="1722"/>
      <c r="I83" s="1785" t="str">
        <f>IF(I40="","",I40)</f>
        <v>令和　  　年  　　月　　  日</v>
      </c>
      <c r="J83" s="1773"/>
      <c r="K83" s="1773"/>
      <c r="L83" s="1773"/>
      <c r="M83" s="1773"/>
      <c r="N83" s="1773"/>
      <c r="O83" s="1773"/>
      <c r="P83" s="1773"/>
      <c r="Q83" s="1773"/>
      <c r="R83" s="1723"/>
      <c r="S83" s="1723"/>
      <c r="T83" s="1723"/>
      <c r="U83" s="1723"/>
      <c r="V83" s="1723"/>
      <c r="W83" s="1723"/>
      <c r="X83" s="1723"/>
      <c r="Y83" s="1723"/>
      <c r="Z83" s="1723"/>
      <c r="AA83" s="1723"/>
      <c r="AB83" s="1723"/>
      <c r="AC83" s="1723"/>
      <c r="AD83" s="1723"/>
      <c r="AE83" s="1723"/>
      <c r="AF83" s="1731"/>
    </row>
    <row r="84" spans="1:32" ht="12.75" customHeight="1"/>
    <row r="85" spans="1:32" ht="13.5" customHeight="1">
      <c r="B85" s="16" t="s">
        <v>2</v>
      </c>
    </row>
    <row r="86" spans="1:32" ht="12.95" customHeight="1">
      <c r="B86" s="251">
        <v>1</v>
      </c>
      <c r="C86" s="192"/>
      <c r="D86" s="192" t="s">
        <v>3418</v>
      </c>
    </row>
    <row r="87" spans="1:32" ht="12.95" customHeight="1">
      <c r="B87" s="251"/>
      <c r="C87" s="192"/>
      <c r="D87" s="192"/>
    </row>
  </sheetData>
  <mergeCells count="125">
    <mergeCell ref="C82:H82"/>
    <mergeCell ref="I82:Q82"/>
    <mergeCell ref="C83:H83"/>
    <mergeCell ref="I83:Q83"/>
    <mergeCell ref="B79:B81"/>
    <mergeCell ref="C79:H81"/>
    <mergeCell ref="I79:AE79"/>
    <mergeCell ref="I80:S80"/>
    <mergeCell ref="V80:AE80"/>
    <mergeCell ref="J81:O81"/>
    <mergeCell ref="X81:AF81"/>
    <mergeCell ref="B75:B78"/>
    <mergeCell ref="C75:H78"/>
    <mergeCell ref="I75:AF75"/>
    <mergeCell ref="I76:S76"/>
    <mergeCell ref="V76:AE76"/>
    <mergeCell ref="M77:N77"/>
    <mergeCell ref="P77:R77"/>
    <mergeCell ref="U77:Z77"/>
    <mergeCell ref="X78:AF78"/>
    <mergeCell ref="B71:B73"/>
    <mergeCell ref="C71:H73"/>
    <mergeCell ref="O73:U73"/>
    <mergeCell ref="Z73:AF73"/>
    <mergeCell ref="C74:H74"/>
    <mergeCell ref="L74:W74"/>
    <mergeCell ref="Z74:AF74"/>
    <mergeCell ref="C68:H68"/>
    <mergeCell ref="I68:AD68"/>
    <mergeCell ref="B69:B70"/>
    <mergeCell ref="C69:H70"/>
    <mergeCell ref="I69:R69"/>
    <mergeCell ref="U69:Y70"/>
    <mergeCell ref="AC69:AF69"/>
    <mergeCell ref="M70:P70"/>
    <mergeCell ref="Z70:AB70"/>
    <mergeCell ref="B60:B63"/>
    <mergeCell ref="C60:H63"/>
    <mergeCell ref="I60:AF63"/>
    <mergeCell ref="C64:H64"/>
    <mergeCell ref="I64:AF64"/>
    <mergeCell ref="B65:B67"/>
    <mergeCell ref="C65:H67"/>
    <mergeCell ref="M67:U67"/>
    <mergeCell ref="X67:AF67"/>
    <mergeCell ref="S53:AE53"/>
    <mergeCell ref="S54:AE54"/>
    <mergeCell ref="S55:AF55"/>
    <mergeCell ref="A57:AF57"/>
    <mergeCell ref="B58:B59"/>
    <mergeCell ref="C58:H59"/>
    <mergeCell ref="Y58:AF59"/>
    <mergeCell ref="Z46:AF46"/>
    <mergeCell ref="S48:X48"/>
    <mergeCell ref="S49:AF49"/>
    <mergeCell ref="S50:AE50"/>
    <mergeCell ref="S51:AE51"/>
    <mergeCell ref="S52:AE52"/>
    <mergeCell ref="N58:P58"/>
    <mergeCell ref="Q58:S58"/>
    <mergeCell ref="L58:M58"/>
    <mergeCell ref="N44:T44"/>
    <mergeCell ref="A45:AF45"/>
    <mergeCell ref="C39:H39"/>
    <mergeCell ref="I39:Q39"/>
    <mergeCell ref="C40:H40"/>
    <mergeCell ref="I40:Q40"/>
    <mergeCell ref="B36:B38"/>
    <mergeCell ref="C36:H38"/>
    <mergeCell ref="I36:AE36"/>
    <mergeCell ref="I37:S37"/>
    <mergeCell ref="V37:AE37"/>
    <mergeCell ref="J38:O38"/>
    <mergeCell ref="X38:AF38"/>
    <mergeCell ref="B32:B35"/>
    <mergeCell ref="C32:H35"/>
    <mergeCell ref="I32:AF32"/>
    <mergeCell ref="I33:S33"/>
    <mergeCell ref="V33:AE33"/>
    <mergeCell ref="M34:N34"/>
    <mergeCell ref="P34:R34"/>
    <mergeCell ref="U34:Z34"/>
    <mergeCell ref="X35:AF35"/>
    <mergeCell ref="C31:H31"/>
    <mergeCell ref="L31:W31"/>
    <mergeCell ref="Z31:AF31"/>
    <mergeCell ref="C25:H25"/>
    <mergeCell ref="I25:AD25"/>
    <mergeCell ref="B26:B27"/>
    <mergeCell ref="C26:H27"/>
    <mergeCell ref="I26:R26"/>
    <mergeCell ref="U26:Y27"/>
    <mergeCell ref="AC26:AF26"/>
    <mergeCell ref="M27:P27"/>
    <mergeCell ref="Z27:AB27"/>
    <mergeCell ref="C21:H21"/>
    <mergeCell ref="I21:AF21"/>
    <mergeCell ref="B22:B24"/>
    <mergeCell ref="C22:H24"/>
    <mergeCell ref="M24:U24"/>
    <mergeCell ref="X24:AF24"/>
    <mergeCell ref="B28:B30"/>
    <mergeCell ref="C28:H30"/>
    <mergeCell ref="O30:U30"/>
    <mergeCell ref="Z30:AF30"/>
    <mergeCell ref="S12:AF12"/>
    <mergeCell ref="A14:AF14"/>
    <mergeCell ref="B15:B16"/>
    <mergeCell ref="C15:H16"/>
    <mergeCell ref="Y15:AF16"/>
    <mergeCell ref="B17:B20"/>
    <mergeCell ref="C17:H20"/>
    <mergeCell ref="I17:AF20"/>
    <mergeCell ref="N15:P15"/>
    <mergeCell ref="L15:M15"/>
    <mergeCell ref="Q15:S15"/>
    <mergeCell ref="A2:AF2"/>
    <mergeCell ref="Z3:AF3"/>
    <mergeCell ref="S5:X5"/>
    <mergeCell ref="S6:AF6"/>
    <mergeCell ref="S7:AE7"/>
    <mergeCell ref="S8:AE8"/>
    <mergeCell ref="S9:AE9"/>
    <mergeCell ref="S10:AE10"/>
    <mergeCell ref="S11:AE11"/>
  </mergeCells>
  <phoneticPr fontId="116"/>
  <dataValidations count="2">
    <dataValidation type="list" allowBlank="1" showInputMessage="1" showErrorMessage="1" sqref="M34 M77" xr:uid="{00000000-0002-0000-1200-000000000000}">
      <formula1>"登・届,登,届"</formula1>
    </dataValidation>
    <dataValidation type="list" allowBlank="1" showInputMessage="1" showErrorMessage="1" sqref="I22:I23 I28:I29 I65:I66 I71:I72" xr:uid="{00000000-0002-0000-1200-000001000000}">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blackAndWhite="1" r:id="rId1"/>
  <rowBreaks count="1" manualBreakCount="1">
    <brk id="43"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AF84"/>
  <sheetViews>
    <sheetView showGridLines="0" zoomScaleNormal="100" zoomScaleSheetLayoutView="100" workbookViewId="0"/>
  </sheetViews>
  <sheetFormatPr defaultColWidth="9.125" defaultRowHeight="13.5"/>
  <cols>
    <col min="1" max="26" width="2.75" style="441" customWidth="1"/>
    <col min="27" max="27" width="3.125" style="441" customWidth="1"/>
    <col min="28" max="32" width="2.75" style="441" customWidth="1"/>
    <col min="33" max="33" width="1.75" style="441" customWidth="1"/>
    <col min="34" max="256" width="9" style="441" customWidth="1"/>
    <col min="257" max="282" width="2.75" style="441" customWidth="1"/>
    <col min="283" max="283" width="3.125" style="441" customWidth="1"/>
    <col min="284" max="288" width="2.75" style="441" customWidth="1"/>
    <col min="289" max="289" width="1.75" style="441" customWidth="1"/>
    <col min="290" max="512" width="9" style="441" customWidth="1"/>
    <col min="513" max="538" width="2.75" style="441" customWidth="1"/>
    <col min="539" max="539" width="3.125" style="441" customWidth="1"/>
    <col min="540" max="544" width="2.75" style="441" customWidth="1"/>
    <col min="545" max="545" width="1.75" style="441" customWidth="1"/>
    <col min="546" max="768" width="9" style="441" customWidth="1"/>
    <col min="769" max="794" width="2.75" style="441" customWidth="1"/>
    <col min="795" max="795" width="3.125" style="441" customWidth="1"/>
    <col min="796" max="800" width="2.75" style="441" customWidth="1"/>
    <col min="801" max="801" width="1.75" style="441" customWidth="1"/>
    <col min="802" max="1024" width="9" style="441" customWidth="1"/>
    <col min="1025" max="1050" width="2.75" style="441" customWidth="1"/>
    <col min="1051" max="1051" width="3.125" style="441" customWidth="1"/>
    <col min="1052" max="1056" width="2.75" style="441" customWidth="1"/>
    <col min="1057" max="1057" width="1.75" style="441" customWidth="1"/>
    <col min="1058" max="1280" width="9" style="441" customWidth="1"/>
    <col min="1281" max="1306" width="2.75" style="441" customWidth="1"/>
    <col min="1307" max="1307" width="3.125" style="441" customWidth="1"/>
    <col min="1308" max="1312" width="2.75" style="441" customWidth="1"/>
    <col min="1313" max="1313" width="1.75" style="441" customWidth="1"/>
    <col min="1314" max="1536" width="9" style="441" customWidth="1"/>
    <col min="1537" max="1562" width="2.75" style="441" customWidth="1"/>
    <col min="1563" max="1563" width="3.125" style="441" customWidth="1"/>
    <col min="1564" max="1568" width="2.75" style="441" customWidth="1"/>
    <col min="1569" max="1569" width="1.75" style="441" customWidth="1"/>
    <col min="1570" max="1792" width="9" style="441" customWidth="1"/>
    <col min="1793" max="1818" width="2.75" style="441" customWidth="1"/>
    <col min="1819" max="1819" width="3.125" style="441" customWidth="1"/>
    <col min="1820" max="1824" width="2.75" style="441" customWidth="1"/>
    <col min="1825" max="1825" width="1.75" style="441" customWidth="1"/>
    <col min="1826" max="2048" width="9" style="441" customWidth="1"/>
    <col min="2049" max="2074" width="2.75" style="441" customWidth="1"/>
    <col min="2075" max="2075" width="3.125" style="441" customWidth="1"/>
    <col min="2076" max="2080" width="2.75" style="441" customWidth="1"/>
    <col min="2081" max="2081" width="1.75" style="441" customWidth="1"/>
    <col min="2082" max="2304" width="9" style="441" customWidth="1"/>
    <col min="2305" max="2330" width="2.75" style="441" customWidth="1"/>
    <col min="2331" max="2331" width="3.125" style="441" customWidth="1"/>
    <col min="2332" max="2336" width="2.75" style="441" customWidth="1"/>
    <col min="2337" max="2337" width="1.75" style="441" customWidth="1"/>
    <col min="2338" max="2560" width="9" style="441" customWidth="1"/>
    <col min="2561" max="2586" width="2.75" style="441" customWidth="1"/>
    <col min="2587" max="2587" width="3.125" style="441" customWidth="1"/>
    <col min="2588" max="2592" width="2.75" style="441" customWidth="1"/>
    <col min="2593" max="2593" width="1.75" style="441" customWidth="1"/>
    <col min="2594" max="2816" width="9" style="441" customWidth="1"/>
    <col min="2817" max="2842" width="2.75" style="441" customWidth="1"/>
    <col min="2843" max="2843" width="3.125" style="441" customWidth="1"/>
    <col min="2844" max="2848" width="2.75" style="441" customWidth="1"/>
    <col min="2849" max="2849" width="1.75" style="441" customWidth="1"/>
    <col min="2850" max="3072" width="9" style="441" customWidth="1"/>
    <col min="3073" max="3098" width="2.75" style="441" customWidth="1"/>
    <col min="3099" max="3099" width="3.125" style="441" customWidth="1"/>
    <col min="3100" max="3104" width="2.75" style="441" customWidth="1"/>
    <col min="3105" max="3105" width="1.75" style="441" customWidth="1"/>
    <col min="3106" max="3328" width="9" style="441" customWidth="1"/>
    <col min="3329" max="3354" width="2.75" style="441" customWidth="1"/>
    <col min="3355" max="3355" width="3.125" style="441" customWidth="1"/>
    <col min="3356" max="3360" width="2.75" style="441" customWidth="1"/>
    <col min="3361" max="3361" width="1.75" style="441" customWidth="1"/>
    <col min="3362" max="3584" width="9" style="441" customWidth="1"/>
    <col min="3585" max="3610" width="2.75" style="441" customWidth="1"/>
    <col min="3611" max="3611" width="3.125" style="441" customWidth="1"/>
    <col min="3612" max="3616" width="2.75" style="441" customWidth="1"/>
    <col min="3617" max="3617" width="1.75" style="441" customWidth="1"/>
    <col min="3618" max="3840" width="9" style="441" customWidth="1"/>
    <col min="3841" max="3866" width="2.75" style="441" customWidth="1"/>
    <col min="3867" max="3867" width="3.125" style="441" customWidth="1"/>
    <col min="3868" max="3872" width="2.75" style="441" customWidth="1"/>
    <col min="3873" max="3873" width="1.75" style="441" customWidth="1"/>
    <col min="3874" max="4096" width="9" style="441" customWidth="1"/>
    <col min="4097" max="4122" width="2.75" style="441" customWidth="1"/>
    <col min="4123" max="4123" width="3.125" style="441" customWidth="1"/>
    <col min="4124" max="4128" width="2.75" style="441" customWidth="1"/>
    <col min="4129" max="4129" width="1.75" style="441" customWidth="1"/>
    <col min="4130" max="4352" width="9" style="441" customWidth="1"/>
    <col min="4353" max="4378" width="2.75" style="441" customWidth="1"/>
    <col min="4379" max="4379" width="3.125" style="441" customWidth="1"/>
    <col min="4380" max="4384" width="2.75" style="441" customWidth="1"/>
    <col min="4385" max="4385" width="1.75" style="441" customWidth="1"/>
    <col min="4386" max="4608" width="9" style="441" customWidth="1"/>
    <col min="4609" max="4634" width="2.75" style="441" customWidth="1"/>
    <col min="4635" max="4635" width="3.125" style="441" customWidth="1"/>
    <col min="4636" max="4640" width="2.75" style="441" customWidth="1"/>
    <col min="4641" max="4641" width="1.75" style="441" customWidth="1"/>
    <col min="4642" max="4864" width="9" style="441" customWidth="1"/>
    <col min="4865" max="4890" width="2.75" style="441" customWidth="1"/>
    <col min="4891" max="4891" width="3.125" style="441" customWidth="1"/>
    <col min="4892" max="4896" width="2.75" style="441" customWidth="1"/>
    <col min="4897" max="4897" width="1.75" style="441" customWidth="1"/>
    <col min="4898" max="5120" width="9" style="441" customWidth="1"/>
    <col min="5121" max="5146" width="2.75" style="441" customWidth="1"/>
    <col min="5147" max="5147" width="3.125" style="441" customWidth="1"/>
    <col min="5148" max="5152" width="2.75" style="441" customWidth="1"/>
    <col min="5153" max="5153" width="1.75" style="441" customWidth="1"/>
    <col min="5154" max="5376" width="9" style="441" customWidth="1"/>
    <col min="5377" max="5402" width="2.75" style="441" customWidth="1"/>
    <col min="5403" max="5403" width="3.125" style="441" customWidth="1"/>
    <col min="5404" max="5408" width="2.75" style="441" customWidth="1"/>
    <col min="5409" max="5409" width="1.75" style="441" customWidth="1"/>
    <col min="5410" max="5632" width="9" style="441" customWidth="1"/>
    <col min="5633" max="5658" width="2.75" style="441" customWidth="1"/>
    <col min="5659" max="5659" width="3.125" style="441" customWidth="1"/>
    <col min="5660" max="5664" width="2.75" style="441" customWidth="1"/>
    <col min="5665" max="5665" width="1.75" style="441" customWidth="1"/>
    <col min="5666" max="5888" width="9" style="441" customWidth="1"/>
    <col min="5889" max="5914" width="2.75" style="441" customWidth="1"/>
    <col min="5915" max="5915" width="3.125" style="441" customWidth="1"/>
    <col min="5916" max="5920" width="2.75" style="441" customWidth="1"/>
    <col min="5921" max="5921" width="1.75" style="441" customWidth="1"/>
    <col min="5922" max="6144" width="9" style="441" customWidth="1"/>
    <col min="6145" max="6170" width="2.75" style="441" customWidth="1"/>
    <col min="6171" max="6171" width="3.125" style="441" customWidth="1"/>
    <col min="6172" max="6176" width="2.75" style="441" customWidth="1"/>
    <col min="6177" max="6177" width="1.75" style="441" customWidth="1"/>
    <col min="6178" max="6400" width="9" style="441" customWidth="1"/>
    <col min="6401" max="6426" width="2.75" style="441" customWidth="1"/>
    <col min="6427" max="6427" width="3.125" style="441" customWidth="1"/>
    <col min="6428" max="6432" width="2.75" style="441" customWidth="1"/>
    <col min="6433" max="6433" width="1.75" style="441" customWidth="1"/>
    <col min="6434" max="6656" width="9" style="441" customWidth="1"/>
    <col min="6657" max="6682" width="2.75" style="441" customWidth="1"/>
    <col min="6683" max="6683" width="3.125" style="441" customWidth="1"/>
    <col min="6684" max="6688" width="2.75" style="441" customWidth="1"/>
    <col min="6689" max="6689" width="1.75" style="441" customWidth="1"/>
    <col min="6690" max="6912" width="9" style="441" customWidth="1"/>
    <col min="6913" max="6938" width="2.75" style="441" customWidth="1"/>
    <col min="6939" max="6939" width="3.125" style="441" customWidth="1"/>
    <col min="6940" max="6944" width="2.75" style="441" customWidth="1"/>
    <col min="6945" max="6945" width="1.75" style="441" customWidth="1"/>
    <col min="6946" max="7168" width="9" style="441" customWidth="1"/>
    <col min="7169" max="7194" width="2.75" style="441" customWidth="1"/>
    <col min="7195" max="7195" width="3.125" style="441" customWidth="1"/>
    <col min="7196" max="7200" width="2.75" style="441" customWidth="1"/>
    <col min="7201" max="7201" width="1.75" style="441" customWidth="1"/>
    <col min="7202" max="7424" width="9" style="441" customWidth="1"/>
    <col min="7425" max="7450" width="2.75" style="441" customWidth="1"/>
    <col min="7451" max="7451" width="3.125" style="441" customWidth="1"/>
    <col min="7452" max="7456" width="2.75" style="441" customWidth="1"/>
    <col min="7457" max="7457" width="1.75" style="441" customWidth="1"/>
    <col min="7458" max="7680" width="9" style="441" customWidth="1"/>
    <col min="7681" max="7706" width="2.75" style="441" customWidth="1"/>
    <col min="7707" max="7707" width="3.125" style="441" customWidth="1"/>
    <col min="7708" max="7712" width="2.75" style="441" customWidth="1"/>
    <col min="7713" max="7713" width="1.75" style="441" customWidth="1"/>
    <col min="7714" max="7936" width="9" style="441" customWidth="1"/>
    <col min="7937" max="7962" width="2.75" style="441" customWidth="1"/>
    <col min="7963" max="7963" width="3.125" style="441" customWidth="1"/>
    <col min="7964" max="7968" width="2.75" style="441" customWidth="1"/>
    <col min="7969" max="7969" width="1.75" style="441" customWidth="1"/>
    <col min="7970" max="8192" width="9" style="441" customWidth="1"/>
    <col min="8193" max="8218" width="2.75" style="441" customWidth="1"/>
    <col min="8219" max="8219" width="3.125" style="441" customWidth="1"/>
    <col min="8220" max="8224" width="2.75" style="441" customWidth="1"/>
    <col min="8225" max="8225" width="1.75" style="441" customWidth="1"/>
    <col min="8226" max="8448" width="9" style="441" customWidth="1"/>
    <col min="8449" max="8474" width="2.75" style="441" customWidth="1"/>
    <col min="8475" max="8475" width="3.125" style="441" customWidth="1"/>
    <col min="8476" max="8480" width="2.75" style="441" customWidth="1"/>
    <col min="8481" max="8481" width="1.75" style="441" customWidth="1"/>
    <col min="8482" max="8704" width="9" style="441" customWidth="1"/>
    <col min="8705" max="8730" width="2.75" style="441" customWidth="1"/>
    <col min="8731" max="8731" width="3.125" style="441" customWidth="1"/>
    <col min="8732" max="8736" width="2.75" style="441" customWidth="1"/>
    <col min="8737" max="8737" width="1.75" style="441" customWidth="1"/>
    <col min="8738" max="8960" width="9" style="441" customWidth="1"/>
    <col min="8961" max="8986" width="2.75" style="441" customWidth="1"/>
    <col min="8987" max="8987" width="3.125" style="441" customWidth="1"/>
    <col min="8988" max="8992" width="2.75" style="441" customWidth="1"/>
    <col min="8993" max="8993" width="1.75" style="441" customWidth="1"/>
    <col min="8994" max="9216" width="9" style="441" customWidth="1"/>
    <col min="9217" max="9242" width="2.75" style="441" customWidth="1"/>
    <col min="9243" max="9243" width="3.125" style="441" customWidth="1"/>
    <col min="9244" max="9248" width="2.75" style="441" customWidth="1"/>
    <col min="9249" max="9249" width="1.75" style="441" customWidth="1"/>
    <col min="9250" max="9472" width="9" style="441" customWidth="1"/>
    <col min="9473" max="9498" width="2.75" style="441" customWidth="1"/>
    <col min="9499" max="9499" width="3.125" style="441" customWidth="1"/>
    <col min="9500" max="9504" width="2.75" style="441" customWidth="1"/>
    <col min="9505" max="9505" width="1.75" style="441" customWidth="1"/>
    <col min="9506" max="9728" width="9" style="441" customWidth="1"/>
    <col min="9729" max="9754" width="2.75" style="441" customWidth="1"/>
    <col min="9755" max="9755" width="3.125" style="441" customWidth="1"/>
    <col min="9756" max="9760" width="2.75" style="441" customWidth="1"/>
    <col min="9761" max="9761" width="1.75" style="441" customWidth="1"/>
    <col min="9762" max="9984" width="9" style="441" customWidth="1"/>
    <col min="9985" max="10010" width="2.75" style="441" customWidth="1"/>
    <col min="10011" max="10011" width="3.125" style="441" customWidth="1"/>
    <col min="10012" max="10016" width="2.75" style="441" customWidth="1"/>
    <col min="10017" max="10017" width="1.75" style="441" customWidth="1"/>
    <col min="10018" max="10240" width="9" style="441" customWidth="1"/>
    <col min="10241" max="10266" width="2.75" style="441" customWidth="1"/>
    <col min="10267" max="10267" width="3.125" style="441" customWidth="1"/>
    <col min="10268" max="10272" width="2.75" style="441" customWidth="1"/>
    <col min="10273" max="10273" width="1.75" style="441" customWidth="1"/>
    <col min="10274" max="10496" width="9" style="441" customWidth="1"/>
    <col min="10497" max="10522" width="2.75" style="441" customWidth="1"/>
    <col min="10523" max="10523" width="3.125" style="441" customWidth="1"/>
    <col min="10524" max="10528" width="2.75" style="441" customWidth="1"/>
    <col min="10529" max="10529" width="1.75" style="441" customWidth="1"/>
    <col min="10530" max="10752" width="9" style="441" customWidth="1"/>
    <col min="10753" max="10778" width="2.75" style="441" customWidth="1"/>
    <col min="10779" max="10779" width="3.125" style="441" customWidth="1"/>
    <col min="10780" max="10784" width="2.75" style="441" customWidth="1"/>
    <col min="10785" max="10785" width="1.75" style="441" customWidth="1"/>
    <col min="10786" max="11008" width="9" style="441" customWidth="1"/>
    <col min="11009" max="11034" width="2.75" style="441" customWidth="1"/>
    <col min="11035" max="11035" width="3.125" style="441" customWidth="1"/>
    <col min="11036" max="11040" width="2.75" style="441" customWidth="1"/>
    <col min="11041" max="11041" width="1.75" style="441" customWidth="1"/>
    <col min="11042" max="11264" width="9" style="441" customWidth="1"/>
    <col min="11265" max="11290" width="2.75" style="441" customWidth="1"/>
    <col min="11291" max="11291" width="3.125" style="441" customWidth="1"/>
    <col min="11292" max="11296" width="2.75" style="441" customWidth="1"/>
    <col min="11297" max="11297" width="1.75" style="441" customWidth="1"/>
    <col min="11298" max="11520" width="9" style="441" customWidth="1"/>
    <col min="11521" max="11546" width="2.75" style="441" customWidth="1"/>
    <col min="11547" max="11547" width="3.125" style="441" customWidth="1"/>
    <col min="11548" max="11552" width="2.75" style="441" customWidth="1"/>
    <col min="11553" max="11553" width="1.75" style="441" customWidth="1"/>
    <col min="11554" max="11776" width="9" style="441" customWidth="1"/>
    <col min="11777" max="11802" width="2.75" style="441" customWidth="1"/>
    <col min="11803" max="11803" width="3.125" style="441" customWidth="1"/>
    <col min="11804" max="11808" width="2.75" style="441" customWidth="1"/>
    <col min="11809" max="11809" width="1.75" style="441" customWidth="1"/>
    <col min="11810" max="12032" width="9" style="441" customWidth="1"/>
    <col min="12033" max="12058" width="2.75" style="441" customWidth="1"/>
    <col min="12059" max="12059" width="3.125" style="441" customWidth="1"/>
    <col min="12060" max="12064" width="2.75" style="441" customWidth="1"/>
    <col min="12065" max="12065" width="1.75" style="441" customWidth="1"/>
    <col min="12066" max="12288" width="9" style="441" customWidth="1"/>
    <col min="12289" max="12314" width="2.75" style="441" customWidth="1"/>
    <col min="12315" max="12315" width="3.125" style="441" customWidth="1"/>
    <col min="12316" max="12320" width="2.75" style="441" customWidth="1"/>
    <col min="12321" max="12321" width="1.75" style="441" customWidth="1"/>
    <col min="12322" max="12544" width="9" style="441" customWidth="1"/>
    <col min="12545" max="12570" width="2.75" style="441" customWidth="1"/>
    <col min="12571" max="12571" width="3.125" style="441" customWidth="1"/>
    <col min="12572" max="12576" width="2.75" style="441" customWidth="1"/>
    <col min="12577" max="12577" width="1.75" style="441" customWidth="1"/>
    <col min="12578" max="12800" width="9" style="441" customWidth="1"/>
    <col min="12801" max="12826" width="2.75" style="441" customWidth="1"/>
    <col min="12827" max="12827" width="3.125" style="441" customWidth="1"/>
    <col min="12828" max="12832" width="2.75" style="441" customWidth="1"/>
    <col min="12833" max="12833" width="1.75" style="441" customWidth="1"/>
    <col min="12834" max="13056" width="9" style="441" customWidth="1"/>
    <col min="13057" max="13082" width="2.75" style="441" customWidth="1"/>
    <col min="13083" max="13083" width="3.125" style="441" customWidth="1"/>
    <col min="13084" max="13088" width="2.75" style="441" customWidth="1"/>
    <col min="13089" max="13089" width="1.75" style="441" customWidth="1"/>
    <col min="13090" max="13312" width="9" style="441" customWidth="1"/>
    <col min="13313" max="13338" width="2.75" style="441" customWidth="1"/>
    <col min="13339" max="13339" width="3.125" style="441" customWidth="1"/>
    <col min="13340" max="13344" width="2.75" style="441" customWidth="1"/>
    <col min="13345" max="13345" width="1.75" style="441" customWidth="1"/>
    <col min="13346" max="13568" width="9" style="441" customWidth="1"/>
    <col min="13569" max="13594" width="2.75" style="441" customWidth="1"/>
    <col min="13595" max="13595" width="3.125" style="441" customWidth="1"/>
    <col min="13596" max="13600" width="2.75" style="441" customWidth="1"/>
    <col min="13601" max="13601" width="1.75" style="441" customWidth="1"/>
    <col min="13602" max="13824" width="9" style="441" customWidth="1"/>
    <col min="13825" max="13850" width="2.75" style="441" customWidth="1"/>
    <col min="13851" max="13851" width="3.125" style="441" customWidth="1"/>
    <col min="13852" max="13856" width="2.75" style="441" customWidth="1"/>
    <col min="13857" max="13857" width="1.75" style="441" customWidth="1"/>
    <col min="13858" max="14080" width="9" style="441" customWidth="1"/>
    <col min="14081" max="14106" width="2.75" style="441" customWidth="1"/>
    <col min="14107" max="14107" width="3.125" style="441" customWidth="1"/>
    <col min="14108" max="14112" width="2.75" style="441" customWidth="1"/>
    <col min="14113" max="14113" width="1.75" style="441" customWidth="1"/>
    <col min="14114" max="14336" width="9" style="441" customWidth="1"/>
    <col min="14337" max="14362" width="2.75" style="441" customWidth="1"/>
    <col min="14363" max="14363" width="3.125" style="441" customWidth="1"/>
    <col min="14364" max="14368" width="2.75" style="441" customWidth="1"/>
    <col min="14369" max="14369" width="1.75" style="441" customWidth="1"/>
    <col min="14370" max="14592" width="9" style="441" customWidth="1"/>
    <col min="14593" max="14618" width="2.75" style="441" customWidth="1"/>
    <col min="14619" max="14619" width="3.125" style="441" customWidth="1"/>
    <col min="14620" max="14624" width="2.75" style="441" customWidth="1"/>
    <col min="14625" max="14625" width="1.75" style="441" customWidth="1"/>
    <col min="14626" max="14848" width="9" style="441" customWidth="1"/>
    <col min="14849" max="14874" width="2.75" style="441" customWidth="1"/>
    <col min="14875" max="14875" width="3.125" style="441" customWidth="1"/>
    <col min="14876" max="14880" width="2.75" style="441" customWidth="1"/>
    <col min="14881" max="14881" width="1.75" style="441" customWidth="1"/>
    <col min="14882" max="15104" width="9" style="441" customWidth="1"/>
    <col min="15105" max="15130" width="2.75" style="441" customWidth="1"/>
    <col min="15131" max="15131" width="3.125" style="441" customWidth="1"/>
    <col min="15132" max="15136" width="2.75" style="441" customWidth="1"/>
    <col min="15137" max="15137" width="1.75" style="441" customWidth="1"/>
    <col min="15138" max="15360" width="9" style="441" customWidth="1"/>
    <col min="15361" max="15386" width="2.75" style="441" customWidth="1"/>
    <col min="15387" max="15387" width="3.125" style="441" customWidth="1"/>
    <col min="15388" max="15392" width="2.75" style="441" customWidth="1"/>
    <col min="15393" max="15393" width="1.75" style="441" customWidth="1"/>
    <col min="15394" max="15616" width="9" style="441" customWidth="1"/>
    <col min="15617" max="15642" width="2.75" style="441" customWidth="1"/>
    <col min="15643" max="15643" width="3.125" style="441" customWidth="1"/>
    <col min="15644" max="15648" width="2.75" style="441" customWidth="1"/>
    <col min="15649" max="15649" width="1.75" style="441" customWidth="1"/>
    <col min="15650" max="15872" width="9" style="441" customWidth="1"/>
    <col min="15873" max="15898" width="2.75" style="441" customWidth="1"/>
    <col min="15899" max="15899" width="3.125" style="441" customWidth="1"/>
    <col min="15900" max="15904" width="2.75" style="441" customWidth="1"/>
    <col min="15905" max="15905" width="1.75" style="441" customWidth="1"/>
    <col min="15906" max="16128" width="9" style="441" customWidth="1"/>
    <col min="16129" max="16154" width="2.75" style="441" customWidth="1"/>
    <col min="16155" max="16155" width="3.125" style="441" customWidth="1"/>
    <col min="16156" max="16160" width="2.75" style="441" customWidth="1"/>
    <col min="16161" max="16161" width="1.75" style="441" customWidth="1"/>
    <col min="16162" max="16384" width="9" style="441" customWidth="1"/>
  </cols>
  <sheetData>
    <row r="1" spans="1:32" s="410" customFormat="1" ht="12.75" customHeight="1">
      <c r="A1" s="412" t="s">
        <v>3419</v>
      </c>
    </row>
    <row r="2" spans="1:32" s="410" customFormat="1" ht="12.75" customHeight="1"/>
    <row r="3" spans="1:32" s="410" customFormat="1" ht="24.95" customHeight="1">
      <c r="B3" s="1249" t="s">
        <v>2900</v>
      </c>
      <c r="C3" s="1250"/>
      <c r="D3" s="1250"/>
      <c r="E3" s="1250"/>
      <c r="F3" s="1250"/>
      <c r="G3" s="1250"/>
      <c r="H3" s="453"/>
      <c r="I3" s="453"/>
    </row>
    <row r="4" spans="1:32" s="410" customFormat="1" ht="18.75" customHeight="1">
      <c r="A4" s="1251" t="s">
        <v>41</v>
      </c>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row>
    <row r="5" spans="1:32" s="410" customFormat="1" ht="15" customHeight="1">
      <c r="A5" s="1242" t="s">
        <v>3420</v>
      </c>
      <c r="B5" s="1238"/>
      <c r="C5" s="1238"/>
      <c r="D5" s="1238"/>
      <c r="E5" s="1238"/>
      <c r="F5" s="1238"/>
      <c r="G5" s="1238"/>
      <c r="H5" s="1238"/>
      <c r="I5" s="1238"/>
      <c r="J5" s="1238"/>
      <c r="K5" s="404"/>
      <c r="L5" s="404"/>
      <c r="M5" s="404"/>
      <c r="N5" s="404"/>
      <c r="O5" s="404"/>
      <c r="P5" s="404"/>
      <c r="Q5" s="404"/>
      <c r="R5" s="404"/>
      <c r="S5" s="404"/>
      <c r="T5" s="404"/>
      <c r="U5" s="404"/>
      <c r="V5" s="404"/>
      <c r="W5" s="404"/>
      <c r="X5" s="404"/>
      <c r="Y5" s="404"/>
      <c r="Z5" s="404"/>
      <c r="AA5" s="404"/>
      <c r="AB5" s="404"/>
      <c r="AC5" s="404"/>
      <c r="AD5" s="404"/>
      <c r="AE5" s="404"/>
      <c r="AF5" s="404"/>
    </row>
    <row r="6" spans="1:32" s="410" customFormat="1" ht="15" customHeight="1">
      <c r="A6" s="1238"/>
      <c r="B6" s="1238"/>
      <c r="C6" s="1238"/>
      <c r="D6" s="1238"/>
      <c r="E6" s="1238"/>
      <c r="F6" s="1238"/>
      <c r="G6" s="1238"/>
      <c r="H6" s="1238"/>
      <c r="I6" s="1238"/>
      <c r="J6" s="1238"/>
      <c r="K6" s="404"/>
      <c r="L6" s="404"/>
      <c r="M6" s="404"/>
      <c r="N6" s="404"/>
      <c r="O6" s="404"/>
      <c r="P6" s="404"/>
      <c r="Q6" s="404"/>
      <c r="R6" s="404"/>
      <c r="S6" s="404"/>
      <c r="T6" s="404"/>
      <c r="U6" s="404"/>
      <c r="V6" s="404"/>
      <c r="W6" s="404"/>
      <c r="X6" s="404"/>
      <c r="Y6" s="404"/>
      <c r="Z6" s="404"/>
      <c r="AA6" s="404"/>
      <c r="AB6" s="404"/>
      <c r="AC6" s="404"/>
      <c r="AD6" s="404"/>
      <c r="AE6" s="404"/>
      <c r="AF6" s="404"/>
    </row>
    <row r="7" spans="1:32" s="410" customFormat="1" ht="20.100000000000001" customHeight="1">
      <c r="A7" s="405"/>
      <c r="B7" s="1252"/>
      <c r="C7" s="1252"/>
      <c r="D7" s="1252"/>
      <c r="E7" s="1252"/>
      <c r="F7" s="1252"/>
      <c r="G7" s="1252"/>
      <c r="H7" s="1252"/>
      <c r="I7" s="1252"/>
      <c r="J7" s="1252"/>
      <c r="K7" s="405"/>
      <c r="L7" s="405"/>
      <c r="M7" s="405"/>
      <c r="N7" s="405"/>
      <c r="O7" s="405"/>
      <c r="P7" s="405"/>
      <c r="Q7" s="405"/>
      <c r="R7" s="405"/>
      <c r="S7" s="475"/>
      <c r="T7" s="405"/>
      <c r="U7" s="405"/>
      <c r="V7" s="405"/>
      <c r="W7" s="1253" t="s">
        <v>3421</v>
      </c>
      <c r="X7" s="1253"/>
      <c r="Y7" s="1253"/>
      <c r="Z7" s="1253"/>
      <c r="AA7" s="1253"/>
      <c r="AB7" s="1253"/>
      <c r="AC7" s="1253"/>
      <c r="AD7" s="1253"/>
      <c r="AE7" s="1253"/>
      <c r="AF7" s="1253"/>
    </row>
    <row r="8" spans="1:32" s="410" customFormat="1" ht="12.75" customHeight="1"/>
    <row r="9" spans="1:32" s="410" customFormat="1" ht="20.100000000000001" customHeight="1">
      <c r="A9" s="1254" t="s">
        <v>3422</v>
      </c>
      <c r="B9" s="1255"/>
      <c r="C9" s="1255"/>
      <c r="D9" s="1255"/>
      <c r="E9" s="1255"/>
      <c r="F9" s="1255"/>
      <c r="G9" s="1255"/>
      <c r="H9" s="1254" t="s">
        <v>3423</v>
      </c>
      <c r="I9" s="1255"/>
      <c r="J9" s="1255"/>
      <c r="K9" s="1255"/>
      <c r="L9" s="1255"/>
      <c r="M9" s="1255"/>
      <c r="N9" s="1256"/>
      <c r="P9" s="410" t="s">
        <v>3424</v>
      </c>
      <c r="Q9" s="406"/>
      <c r="R9" s="406"/>
      <c r="S9" s="406"/>
      <c r="T9" s="406"/>
      <c r="U9" s="406"/>
      <c r="V9" s="406"/>
      <c r="W9" s="406"/>
      <c r="X9" s="406"/>
      <c r="Y9" s="406"/>
      <c r="Z9" s="406"/>
      <c r="AA9" s="406"/>
      <c r="AB9" s="406"/>
      <c r="AC9" s="406"/>
      <c r="AD9" s="406"/>
      <c r="AE9" s="406"/>
    </row>
    <row r="10" spans="1:32" s="410" customFormat="1" ht="2.25" customHeight="1">
      <c r="A10" s="407"/>
      <c r="B10" s="422"/>
      <c r="C10" s="422"/>
      <c r="D10" s="422"/>
      <c r="H10" s="408"/>
      <c r="I10" s="422"/>
      <c r="J10" s="422"/>
      <c r="K10" s="422"/>
      <c r="L10" s="422"/>
      <c r="M10" s="422"/>
      <c r="N10" s="409"/>
      <c r="P10" s="406"/>
      <c r="Q10" s="406"/>
      <c r="R10" s="406"/>
      <c r="S10" s="406"/>
      <c r="T10" s="406"/>
      <c r="U10" s="406"/>
      <c r="V10" s="406"/>
      <c r="W10" s="406"/>
      <c r="X10" s="406"/>
      <c r="Y10" s="406"/>
      <c r="Z10" s="406"/>
      <c r="AA10" s="406"/>
      <c r="AB10" s="406"/>
      <c r="AC10" s="406"/>
      <c r="AD10" s="406"/>
      <c r="AE10" s="406"/>
    </row>
    <row r="11" spans="1:32" s="410" customFormat="1" ht="12.75" customHeight="1">
      <c r="A11" s="1260"/>
      <c r="B11" s="1261"/>
      <c r="C11" s="1261"/>
      <c r="D11" s="1261"/>
      <c r="E11" s="1261"/>
      <c r="F11" s="1261"/>
      <c r="G11" s="1261"/>
      <c r="H11" s="1254"/>
      <c r="I11" s="1261"/>
      <c r="J11" s="1261"/>
      <c r="K11" s="1261"/>
      <c r="L11" s="1261"/>
      <c r="M11" s="1261"/>
      <c r="N11" s="1264"/>
      <c r="P11" s="1267"/>
      <c r="Q11" s="1267"/>
      <c r="R11" s="1267"/>
      <c r="S11" s="1267"/>
      <c r="T11" s="1267"/>
      <c r="U11" s="1267"/>
      <c r="V11" s="1267"/>
      <c r="W11" s="1267"/>
      <c r="X11" s="1267"/>
      <c r="Y11" s="1267"/>
      <c r="Z11" s="1267"/>
      <c r="AA11" s="1267"/>
      <c r="AB11" s="1267"/>
      <c r="AC11" s="1267"/>
      <c r="AD11" s="1267"/>
      <c r="AE11" s="1267"/>
      <c r="AF11" s="1268"/>
    </row>
    <row r="12" spans="1:32" s="410" customFormat="1" ht="2.25" customHeight="1">
      <c r="A12" s="1262"/>
      <c r="B12" s="1208"/>
      <c r="C12" s="1208"/>
      <c r="D12" s="1208"/>
      <c r="E12" s="1208"/>
      <c r="F12" s="1208"/>
      <c r="G12" s="1208"/>
      <c r="H12" s="1262"/>
      <c r="I12" s="1208"/>
      <c r="J12" s="1208"/>
      <c r="K12" s="1208"/>
      <c r="L12" s="1208"/>
      <c r="M12" s="1208"/>
      <c r="N12" s="1265"/>
      <c r="P12" s="1267"/>
      <c r="Q12" s="1267"/>
      <c r="R12" s="1267"/>
      <c r="S12" s="1267"/>
      <c r="T12" s="1267"/>
      <c r="U12" s="1267"/>
      <c r="V12" s="1267"/>
      <c r="W12" s="1267"/>
      <c r="X12" s="1267"/>
      <c r="Y12" s="1267"/>
      <c r="Z12" s="1267"/>
      <c r="AA12" s="1267"/>
      <c r="AB12" s="1267"/>
      <c r="AC12" s="1267"/>
      <c r="AD12" s="1267"/>
      <c r="AE12" s="1267"/>
      <c r="AF12" s="1268"/>
    </row>
    <row r="13" spans="1:32" s="410" customFormat="1" ht="2.25" customHeight="1">
      <c r="A13" s="1262"/>
      <c r="B13" s="1208"/>
      <c r="C13" s="1208"/>
      <c r="D13" s="1208"/>
      <c r="E13" s="1208"/>
      <c r="F13" s="1208"/>
      <c r="G13" s="1208"/>
      <c r="H13" s="1262"/>
      <c r="I13" s="1208"/>
      <c r="J13" s="1208"/>
      <c r="K13" s="1208"/>
      <c r="L13" s="1208"/>
      <c r="M13" s="1208"/>
      <c r="N13" s="1265"/>
      <c r="P13" s="1267"/>
      <c r="Q13" s="1267"/>
      <c r="R13" s="1267"/>
      <c r="S13" s="1267"/>
      <c r="T13" s="1267"/>
      <c r="U13" s="1267"/>
      <c r="V13" s="1267"/>
      <c r="W13" s="1267"/>
      <c r="X13" s="1267"/>
      <c r="Y13" s="1267"/>
      <c r="Z13" s="1267"/>
      <c r="AA13" s="1267"/>
      <c r="AB13" s="1267"/>
      <c r="AC13" s="1267"/>
      <c r="AD13" s="1267"/>
      <c r="AE13" s="1267"/>
      <c r="AF13" s="1268"/>
    </row>
    <row r="14" spans="1:32" s="410" customFormat="1" ht="12.75" customHeight="1">
      <c r="A14" s="1262"/>
      <c r="B14" s="1208"/>
      <c r="C14" s="1208"/>
      <c r="D14" s="1208"/>
      <c r="E14" s="1208"/>
      <c r="F14" s="1208"/>
      <c r="G14" s="1208"/>
      <c r="H14" s="1262"/>
      <c r="I14" s="1208"/>
      <c r="J14" s="1208"/>
      <c r="K14" s="1208"/>
      <c r="L14" s="1208"/>
      <c r="M14" s="1208"/>
      <c r="N14" s="1265"/>
      <c r="P14" s="1267"/>
      <c r="Q14" s="1267"/>
      <c r="R14" s="1267"/>
      <c r="S14" s="1267"/>
      <c r="T14" s="1267"/>
      <c r="U14" s="1267"/>
      <c r="V14" s="1267"/>
      <c r="W14" s="1267"/>
      <c r="X14" s="1267"/>
      <c r="Y14" s="1267"/>
      <c r="Z14" s="1267"/>
      <c r="AA14" s="1267"/>
      <c r="AB14" s="1267"/>
      <c r="AC14" s="1267"/>
      <c r="AD14" s="1267"/>
      <c r="AE14" s="1267"/>
      <c r="AF14" s="1268"/>
    </row>
    <row r="15" spans="1:32" s="410" customFormat="1" ht="2.25" customHeight="1">
      <c r="A15" s="1262"/>
      <c r="B15" s="1208"/>
      <c r="C15" s="1208"/>
      <c r="D15" s="1208"/>
      <c r="E15" s="1208"/>
      <c r="F15" s="1208"/>
      <c r="G15" s="1208"/>
      <c r="H15" s="1262"/>
      <c r="I15" s="1208"/>
      <c r="J15" s="1208"/>
      <c r="K15" s="1208"/>
      <c r="L15" s="1208"/>
      <c r="M15" s="1208"/>
      <c r="N15" s="1265"/>
      <c r="P15" s="406"/>
      <c r="Q15" s="406"/>
      <c r="R15" s="406"/>
      <c r="S15" s="406"/>
      <c r="T15" s="406"/>
      <c r="U15" s="406"/>
      <c r="V15" s="406"/>
      <c r="W15" s="406"/>
      <c r="X15" s="406"/>
      <c r="Y15" s="406"/>
      <c r="Z15" s="406"/>
      <c r="AA15" s="406"/>
      <c r="AB15" s="406"/>
      <c r="AC15" s="406"/>
      <c r="AD15" s="406"/>
      <c r="AE15" s="406"/>
    </row>
    <row r="16" spans="1:32" s="410" customFormat="1" ht="12.75" customHeight="1">
      <c r="A16" s="1262"/>
      <c r="B16" s="1208"/>
      <c r="C16" s="1208"/>
      <c r="D16" s="1208"/>
      <c r="E16" s="1208"/>
      <c r="F16" s="1208"/>
      <c r="G16" s="1208"/>
      <c r="H16" s="1262"/>
      <c r="I16" s="1208"/>
      <c r="J16" s="1208"/>
      <c r="K16" s="1208"/>
      <c r="L16" s="1208"/>
      <c r="M16" s="1208"/>
      <c r="N16" s="1265"/>
      <c r="P16" s="410" t="s">
        <v>3425</v>
      </c>
      <c r="Q16" s="406"/>
      <c r="R16" s="406"/>
      <c r="S16" s="406"/>
      <c r="T16" s="406"/>
      <c r="U16" s="406"/>
      <c r="V16" s="406"/>
      <c r="W16" s="406"/>
      <c r="X16" s="406"/>
      <c r="Y16" s="406"/>
      <c r="Z16" s="406"/>
      <c r="AA16" s="406"/>
      <c r="AB16" s="406"/>
      <c r="AC16" s="406"/>
      <c r="AD16" s="406"/>
      <c r="AE16" s="406"/>
    </row>
    <row r="17" spans="1:32" s="410" customFormat="1" ht="2.25" customHeight="1">
      <c r="A17" s="1262"/>
      <c r="B17" s="1208"/>
      <c r="C17" s="1208"/>
      <c r="D17" s="1208"/>
      <c r="E17" s="1208"/>
      <c r="F17" s="1208"/>
      <c r="G17" s="1208"/>
      <c r="H17" s="1262"/>
      <c r="I17" s="1208"/>
      <c r="J17" s="1208"/>
      <c r="K17" s="1208"/>
      <c r="L17" s="1208"/>
      <c r="M17" s="1208"/>
      <c r="N17" s="1265"/>
      <c r="P17" s="406"/>
      <c r="Q17" s="406"/>
      <c r="R17" s="406"/>
      <c r="S17" s="406"/>
      <c r="T17" s="406"/>
      <c r="U17" s="406"/>
      <c r="V17" s="406"/>
      <c r="W17" s="406"/>
      <c r="X17" s="406"/>
      <c r="Y17" s="406"/>
      <c r="Z17" s="406"/>
      <c r="AA17" s="406"/>
      <c r="AB17" s="406"/>
      <c r="AC17" s="406"/>
      <c r="AD17" s="406"/>
      <c r="AE17" s="406"/>
    </row>
    <row r="18" spans="1:32" s="410" customFormat="1" ht="20.100000000000001" customHeight="1">
      <c r="A18" s="1262"/>
      <c r="B18" s="1208"/>
      <c r="C18" s="1208"/>
      <c r="D18" s="1208"/>
      <c r="E18" s="1208"/>
      <c r="F18" s="1208"/>
      <c r="G18" s="1208"/>
      <c r="H18" s="1262"/>
      <c r="I18" s="1208"/>
      <c r="J18" s="1208"/>
      <c r="K18" s="1208"/>
      <c r="L18" s="1208"/>
      <c r="M18" s="1208"/>
      <c r="N18" s="1265"/>
      <c r="P18" s="1269" t="s">
        <v>3426</v>
      </c>
      <c r="Q18" s="1269"/>
      <c r="R18" s="1269"/>
      <c r="S18" s="1245"/>
      <c r="T18" s="1245"/>
      <c r="U18" s="1245"/>
      <c r="V18" s="1245"/>
      <c r="W18" s="1244" t="s">
        <v>3427</v>
      </c>
      <c r="X18" s="1244"/>
      <c r="Y18" s="1244"/>
      <c r="Z18" s="1244"/>
      <c r="AA18" s="1244"/>
      <c r="AB18" s="1245"/>
      <c r="AC18" s="1245"/>
      <c r="AD18" s="1245"/>
      <c r="AE18" s="1245"/>
      <c r="AF18" s="439" t="s">
        <v>2849</v>
      </c>
    </row>
    <row r="19" spans="1:32" s="410" customFormat="1" ht="2.25" customHeight="1">
      <c r="A19" s="1262"/>
      <c r="B19" s="1208"/>
      <c r="C19" s="1208"/>
      <c r="D19" s="1208"/>
      <c r="E19" s="1208"/>
      <c r="F19" s="1208"/>
      <c r="G19" s="1208"/>
      <c r="H19" s="1262"/>
      <c r="I19" s="1208"/>
      <c r="J19" s="1208"/>
      <c r="K19" s="1208"/>
      <c r="L19" s="1208"/>
      <c r="M19" s="1208"/>
      <c r="N19" s="1265"/>
      <c r="P19" s="406"/>
      <c r="Q19" s="406"/>
      <c r="R19" s="406"/>
      <c r="S19" s="406"/>
      <c r="T19" s="406"/>
      <c r="U19" s="406"/>
      <c r="V19" s="406"/>
      <c r="W19" s="406"/>
      <c r="X19" s="406"/>
      <c r="Y19" s="406"/>
      <c r="Z19" s="406"/>
      <c r="AA19" s="406"/>
      <c r="AB19" s="406"/>
      <c r="AC19" s="406"/>
      <c r="AD19" s="406"/>
      <c r="AE19" s="406"/>
    </row>
    <row r="20" spans="1:32" s="410" customFormat="1" ht="12.75" customHeight="1">
      <c r="A20" s="1262"/>
      <c r="B20" s="1208"/>
      <c r="C20" s="1208"/>
      <c r="D20" s="1208"/>
      <c r="E20" s="1208"/>
      <c r="F20" s="1208"/>
      <c r="G20" s="1208"/>
      <c r="H20" s="1262"/>
      <c r="I20" s="1208"/>
      <c r="J20" s="1208"/>
      <c r="K20" s="1208"/>
      <c r="L20" s="1208"/>
      <c r="M20" s="1208"/>
      <c r="N20" s="1265"/>
      <c r="P20" s="1247" t="s">
        <v>3428</v>
      </c>
      <c r="Q20" s="1247"/>
      <c r="R20" s="1247"/>
      <c r="S20" s="1247"/>
      <c r="T20" s="1247"/>
      <c r="U20" s="1248" t="s">
        <v>3421</v>
      </c>
      <c r="V20" s="1248"/>
      <c r="W20" s="1248"/>
      <c r="X20" s="1248"/>
      <c r="Y20" s="1248"/>
      <c r="Z20" s="1248"/>
      <c r="AA20" s="1248"/>
      <c r="AB20" s="1248"/>
      <c r="AC20" s="1248"/>
      <c r="AD20" s="1248"/>
      <c r="AE20" s="1248"/>
      <c r="AF20" s="1248"/>
    </row>
    <row r="21" spans="1:32" s="410" customFormat="1" ht="2.25" customHeight="1">
      <c r="A21" s="1262"/>
      <c r="B21" s="1208"/>
      <c r="C21" s="1208"/>
      <c r="D21" s="1208"/>
      <c r="E21" s="1208"/>
      <c r="F21" s="1208"/>
      <c r="G21" s="1208"/>
      <c r="H21" s="1262"/>
      <c r="I21" s="1208"/>
      <c r="J21" s="1208"/>
      <c r="K21" s="1208"/>
      <c r="L21" s="1208"/>
      <c r="M21" s="1208"/>
      <c r="N21" s="1265"/>
      <c r="P21" s="1247"/>
      <c r="Q21" s="1247"/>
      <c r="R21" s="1247"/>
      <c r="S21" s="1247"/>
      <c r="T21" s="1247"/>
      <c r="U21" s="1248"/>
      <c r="V21" s="1248"/>
      <c r="W21" s="1248"/>
      <c r="X21" s="1248"/>
      <c r="Y21" s="1248"/>
      <c r="Z21" s="1248"/>
      <c r="AA21" s="1248"/>
      <c r="AB21" s="1248"/>
      <c r="AC21" s="1248"/>
      <c r="AD21" s="1248"/>
      <c r="AE21" s="1248"/>
      <c r="AF21" s="1248"/>
    </row>
    <row r="22" spans="1:32" s="410" customFormat="1" ht="12.75" customHeight="1">
      <c r="A22" s="1262"/>
      <c r="B22" s="1208"/>
      <c r="C22" s="1208"/>
      <c r="D22" s="1208"/>
      <c r="E22" s="1208"/>
      <c r="F22" s="1208"/>
      <c r="G22" s="1208"/>
      <c r="H22" s="1262"/>
      <c r="I22" s="1208"/>
      <c r="J22" s="1208"/>
      <c r="K22" s="1208"/>
      <c r="L22" s="1208"/>
      <c r="M22" s="1208"/>
      <c r="N22" s="1265"/>
      <c r="P22" s="1247"/>
      <c r="Q22" s="1247"/>
      <c r="R22" s="1247"/>
      <c r="S22" s="1247"/>
      <c r="T22" s="1247"/>
      <c r="U22" s="1248"/>
      <c r="V22" s="1248"/>
      <c r="W22" s="1248"/>
      <c r="X22" s="1248"/>
      <c r="Y22" s="1248"/>
      <c r="Z22" s="1248"/>
      <c r="AA22" s="1248"/>
      <c r="AB22" s="1248"/>
      <c r="AC22" s="1248"/>
      <c r="AD22" s="1248"/>
      <c r="AE22" s="1248"/>
      <c r="AF22" s="1248"/>
    </row>
    <row r="23" spans="1:32" s="410" customFormat="1" ht="2.25" customHeight="1">
      <c r="A23" s="1262"/>
      <c r="B23" s="1208"/>
      <c r="C23" s="1208"/>
      <c r="D23" s="1208"/>
      <c r="E23" s="1208"/>
      <c r="F23" s="1208"/>
      <c r="G23" s="1208"/>
      <c r="H23" s="1262"/>
      <c r="I23" s="1208"/>
      <c r="J23" s="1208"/>
      <c r="K23" s="1208"/>
      <c r="L23" s="1208"/>
      <c r="M23" s="1208"/>
      <c r="N23" s="1265"/>
      <c r="P23" s="406"/>
      <c r="Q23" s="406"/>
      <c r="R23" s="406"/>
      <c r="S23" s="406"/>
      <c r="T23" s="406"/>
      <c r="U23" s="406"/>
      <c r="V23" s="406"/>
      <c r="W23" s="406"/>
      <c r="X23" s="406"/>
      <c r="Y23" s="406"/>
      <c r="Z23" s="406"/>
      <c r="AA23" s="406"/>
      <c r="AB23" s="406"/>
      <c r="AC23" s="406"/>
      <c r="AD23" s="406"/>
      <c r="AE23" s="406"/>
    </row>
    <row r="24" spans="1:32" s="410" customFormat="1" ht="20.100000000000001" customHeight="1">
      <c r="A24" s="1262"/>
      <c r="B24" s="1208"/>
      <c r="C24" s="1208"/>
      <c r="D24" s="1208"/>
      <c r="E24" s="1208"/>
      <c r="F24" s="1208"/>
      <c r="G24" s="1208"/>
      <c r="H24" s="1262"/>
      <c r="I24" s="1208"/>
      <c r="J24" s="1208"/>
      <c r="K24" s="1208"/>
      <c r="L24" s="1208"/>
      <c r="M24" s="1208"/>
      <c r="N24" s="1265"/>
      <c r="P24" s="410" t="s">
        <v>3429</v>
      </c>
      <c r="Q24" s="406"/>
      <c r="R24" s="406"/>
      <c r="S24" s="406"/>
      <c r="T24" s="1246"/>
      <c r="U24" s="1246"/>
      <c r="V24" s="1246"/>
      <c r="W24" s="1246"/>
      <c r="X24" s="1246"/>
      <c r="Y24" s="1246"/>
      <c r="Z24" s="1246"/>
      <c r="AA24" s="1246"/>
      <c r="AB24" s="1246"/>
      <c r="AC24" s="1246"/>
      <c r="AD24" s="1246"/>
      <c r="AE24" s="1246"/>
    </row>
    <row r="25" spans="1:32" s="410" customFormat="1" ht="2.25" customHeight="1">
      <c r="A25" s="1262"/>
      <c r="B25" s="1208"/>
      <c r="C25" s="1208"/>
      <c r="D25" s="1208"/>
      <c r="E25" s="1208"/>
      <c r="F25" s="1208"/>
      <c r="G25" s="1208"/>
      <c r="H25" s="1262"/>
      <c r="I25" s="1208"/>
      <c r="J25" s="1208"/>
      <c r="K25" s="1208"/>
      <c r="L25" s="1208"/>
      <c r="M25" s="1208"/>
      <c r="N25" s="1265"/>
      <c r="P25" s="406"/>
      <c r="Q25" s="406"/>
      <c r="R25" s="406"/>
      <c r="S25" s="406"/>
      <c r="T25" s="406"/>
      <c r="U25" s="406"/>
      <c r="V25" s="406"/>
      <c r="W25" s="406"/>
      <c r="X25" s="406"/>
      <c r="Y25" s="406"/>
      <c r="Z25" s="406"/>
      <c r="AA25" s="406"/>
      <c r="AB25" s="406"/>
      <c r="AC25" s="406"/>
      <c r="AD25" s="406"/>
      <c r="AE25" s="406"/>
    </row>
    <row r="26" spans="1:32" s="410" customFormat="1" ht="5.0999999999999996" customHeight="1">
      <c r="A26" s="1263"/>
      <c r="B26" s="1209"/>
      <c r="C26" s="1209"/>
      <c r="D26" s="1209"/>
      <c r="E26" s="1209"/>
      <c r="F26" s="1209"/>
      <c r="G26" s="1209"/>
      <c r="H26" s="1263"/>
      <c r="I26" s="1209"/>
      <c r="J26" s="1209"/>
      <c r="K26" s="1209"/>
      <c r="L26" s="1209"/>
      <c r="M26" s="1209"/>
      <c r="N26" s="1266"/>
      <c r="Q26" s="413"/>
      <c r="R26" s="413"/>
      <c r="S26" s="413"/>
      <c r="T26" s="1241"/>
      <c r="U26" s="1238"/>
      <c r="V26" s="1238"/>
      <c r="W26" s="1238"/>
      <c r="X26" s="1238"/>
      <c r="Y26" s="1238"/>
      <c r="Z26" s="1238"/>
      <c r="AA26" s="1238"/>
      <c r="AB26" s="1238"/>
      <c r="AC26" s="1238"/>
      <c r="AD26" s="1238"/>
      <c r="AE26" s="1238"/>
    </row>
    <row r="27" spans="1:32" s="410" customFormat="1" ht="2.25" customHeight="1">
      <c r="A27" s="414"/>
      <c r="B27" s="414"/>
      <c r="C27" s="414"/>
      <c r="D27" s="414"/>
      <c r="E27" s="414"/>
      <c r="F27" s="414"/>
      <c r="G27" s="414"/>
      <c r="H27" s="422"/>
      <c r="I27" s="422"/>
      <c r="J27" s="422"/>
      <c r="K27" s="422"/>
      <c r="L27" s="422"/>
      <c r="M27" s="422"/>
      <c r="N27" s="422"/>
      <c r="P27" s="406"/>
      <c r="Q27" s="406"/>
      <c r="R27" s="406"/>
      <c r="S27" s="406"/>
      <c r="T27" s="406"/>
      <c r="U27" s="406"/>
      <c r="V27" s="406"/>
      <c r="W27" s="406"/>
      <c r="X27" s="406"/>
      <c r="Y27" s="406"/>
      <c r="Z27" s="406"/>
      <c r="AA27" s="406"/>
      <c r="AB27" s="406"/>
      <c r="AC27" s="406"/>
      <c r="AD27" s="406"/>
      <c r="AE27" s="406"/>
    </row>
    <row r="28" spans="1:32" s="410" customFormat="1" ht="12.75" customHeight="1">
      <c r="A28" s="414"/>
      <c r="B28" s="1242" t="s">
        <v>3430</v>
      </c>
      <c r="C28" s="1243"/>
      <c r="D28" s="1243"/>
      <c r="E28" s="1243"/>
      <c r="F28" s="1243"/>
      <c r="G28" s="1243"/>
      <c r="H28" s="1243"/>
      <c r="I28" s="1243"/>
      <c r="J28" s="1243"/>
      <c r="K28" s="1243"/>
      <c r="L28" s="1243"/>
      <c r="M28" s="1243"/>
      <c r="N28" s="1243"/>
      <c r="O28" s="1243"/>
      <c r="P28" s="1243"/>
      <c r="Q28" s="1243"/>
      <c r="R28" s="1243"/>
      <c r="S28" s="1243"/>
      <c r="T28" s="1243"/>
      <c r="U28" s="1243"/>
      <c r="V28" s="1243"/>
      <c r="W28" s="1243"/>
      <c r="X28" s="1243"/>
      <c r="Y28" s="1243"/>
      <c r="Z28" s="1243"/>
      <c r="AA28" s="1243"/>
      <c r="AB28" s="1243"/>
      <c r="AC28" s="1243"/>
      <c r="AD28" s="1243"/>
      <c r="AE28" s="1243"/>
      <c r="AF28" s="1243"/>
    </row>
    <row r="29" spans="1:32" s="410" customFormat="1" ht="2.25" customHeight="1">
      <c r="A29" s="414"/>
      <c r="B29" s="1243"/>
      <c r="C29" s="1243"/>
      <c r="D29" s="1243"/>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3"/>
      <c r="AA29" s="1243"/>
      <c r="AB29" s="1243"/>
      <c r="AC29" s="1243"/>
      <c r="AD29" s="1243"/>
      <c r="AE29" s="1243"/>
      <c r="AF29" s="1243"/>
    </row>
    <row r="30" spans="1:32" s="410" customFormat="1" ht="12.75" customHeight="1">
      <c r="A30" s="414"/>
      <c r="B30" s="1243"/>
      <c r="C30" s="1243"/>
      <c r="D30" s="1243"/>
      <c r="E30" s="1243"/>
      <c r="F30" s="1243"/>
      <c r="G30" s="1243"/>
      <c r="H30" s="1243"/>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row>
    <row r="31" spans="1:32" s="410" customFormat="1" ht="2.25" customHeight="1">
      <c r="B31" s="415"/>
    </row>
    <row r="32" spans="1:32" s="410" customFormat="1" ht="12.75" customHeight="1">
      <c r="A32" s="422"/>
      <c r="B32" s="417" t="s">
        <v>3431</v>
      </c>
      <c r="C32" s="422"/>
      <c r="D32" s="422"/>
      <c r="E32" s="422"/>
      <c r="F32" s="422"/>
      <c r="G32" s="422"/>
      <c r="H32" s="422"/>
      <c r="I32" s="422"/>
      <c r="J32" s="422"/>
      <c r="K32" s="422"/>
      <c r="L32" s="422"/>
      <c r="M32" s="422"/>
      <c r="N32" s="422"/>
      <c r="P32" s="416" t="s">
        <v>178</v>
      </c>
      <c r="Q32" s="416"/>
      <c r="R32" s="416"/>
      <c r="S32" s="416"/>
      <c r="T32" s="416"/>
      <c r="U32" s="416"/>
      <c r="V32" s="416"/>
      <c r="W32" s="416"/>
      <c r="X32" s="416"/>
      <c r="Y32" s="416"/>
      <c r="Z32" s="416"/>
      <c r="AA32" s="416"/>
      <c r="AB32" s="416"/>
      <c r="AC32" s="416"/>
      <c r="AD32" s="416"/>
      <c r="AE32" s="416"/>
    </row>
    <row r="33" spans="1:32" s="410" customFormat="1" ht="2.25" customHeight="1">
      <c r="B33" s="415"/>
    </row>
    <row r="34" spans="1:32" s="410" customFormat="1" ht="12.75" customHeight="1">
      <c r="A34" s="410">
        <v>1</v>
      </c>
      <c r="B34" s="1239" t="s">
        <v>3432</v>
      </c>
      <c r="C34" s="1240"/>
      <c r="D34" s="1240"/>
      <c r="E34" s="1240"/>
      <c r="F34" s="1240"/>
      <c r="G34" s="1240"/>
      <c r="H34" s="1240"/>
      <c r="I34" s="1240"/>
      <c r="J34" s="1240"/>
      <c r="K34" s="1240"/>
      <c r="L34" s="1240"/>
      <c r="M34" s="1240"/>
      <c r="N34" s="1240"/>
      <c r="O34" s="1240"/>
      <c r="P34" s="1240"/>
      <c r="Q34" s="1240"/>
      <c r="R34" s="1240"/>
      <c r="S34" s="1240"/>
      <c r="T34" s="1240"/>
      <c r="U34" s="1240"/>
      <c r="V34" s="1240"/>
      <c r="W34" s="1240"/>
      <c r="X34" s="1240"/>
      <c r="Y34" s="1240"/>
      <c r="Z34" s="1240"/>
      <c r="AA34" s="1240"/>
      <c r="AB34" s="1240"/>
      <c r="AC34" s="1240"/>
      <c r="AD34" s="1240"/>
      <c r="AE34" s="1240"/>
      <c r="AF34" s="1240"/>
    </row>
    <row r="35" spans="1:32" s="410" customFormat="1" ht="2.25" customHeight="1">
      <c r="B35" s="415"/>
    </row>
    <row r="36" spans="1:32" s="410" customFormat="1" ht="12.75" customHeight="1">
      <c r="B36" s="1236" t="s">
        <v>3433</v>
      </c>
      <c r="C36" s="1240"/>
      <c r="D36" s="1240"/>
      <c r="E36" s="1240"/>
      <c r="F36" s="1240"/>
      <c r="G36" s="1240"/>
      <c r="H36" s="1240"/>
      <c r="I36" s="1240"/>
      <c r="J36" s="1240"/>
      <c r="K36" s="1240"/>
      <c r="L36" s="1240"/>
      <c r="M36" s="1240"/>
      <c r="N36" s="1240"/>
      <c r="O36" s="1240"/>
      <c r="P36" s="1240"/>
      <c r="Q36" s="1240"/>
      <c r="R36" s="1240"/>
      <c r="S36" s="1240"/>
      <c r="T36" s="1240"/>
      <c r="U36" s="1240"/>
      <c r="V36" s="1240"/>
      <c r="W36" s="1240"/>
      <c r="X36" s="1240"/>
      <c r="Y36" s="1240"/>
      <c r="Z36" s="1240"/>
      <c r="AA36" s="1240"/>
      <c r="AB36" s="1240"/>
      <c r="AC36" s="1240"/>
      <c r="AD36" s="1240"/>
      <c r="AE36" s="1240"/>
      <c r="AF36" s="1240"/>
    </row>
    <row r="37" spans="1:32" s="410" customFormat="1" ht="2.25" customHeight="1">
      <c r="D37" s="418"/>
      <c r="P37" s="419"/>
      <c r="Q37" s="419"/>
      <c r="R37" s="419"/>
      <c r="S37" s="419"/>
      <c r="T37" s="419"/>
      <c r="U37" s="419"/>
      <c r="V37" s="419"/>
      <c r="W37" s="419"/>
      <c r="X37" s="419"/>
      <c r="Y37" s="419"/>
      <c r="Z37" s="419"/>
      <c r="AA37" s="419"/>
      <c r="AB37" s="419"/>
      <c r="AC37" s="419"/>
      <c r="AD37" s="419"/>
      <c r="AE37" s="419"/>
      <c r="AF37" s="420"/>
    </row>
    <row r="38" spans="1:32" s="410" customFormat="1" ht="12.75" customHeight="1">
      <c r="A38" s="410">
        <v>2</v>
      </c>
      <c r="B38" s="1239" t="s">
        <v>3434</v>
      </c>
      <c r="C38" s="1240"/>
      <c r="D38" s="1240"/>
      <c r="E38" s="1240"/>
      <c r="F38" s="1240"/>
      <c r="G38" s="1240"/>
      <c r="H38" s="1240"/>
      <c r="I38" s="1240"/>
      <c r="J38" s="1240"/>
      <c r="K38" s="1240"/>
      <c r="L38" s="1240"/>
      <c r="M38" s="1240"/>
      <c r="N38" s="1240"/>
      <c r="O38" s="1240"/>
      <c r="P38" s="1240"/>
      <c r="Q38" s="1240"/>
      <c r="R38" s="1240"/>
      <c r="S38" s="1240"/>
      <c r="T38" s="1240"/>
      <c r="U38" s="1240"/>
      <c r="V38" s="1240"/>
      <c r="W38" s="1240"/>
      <c r="X38" s="1240"/>
      <c r="Y38" s="1240"/>
      <c r="Z38" s="1240"/>
      <c r="AA38" s="1240"/>
      <c r="AB38" s="1240"/>
      <c r="AC38" s="1240"/>
      <c r="AD38" s="1240"/>
      <c r="AE38" s="1240"/>
      <c r="AF38" s="1240"/>
    </row>
    <row r="39" spans="1:32" s="410" customFormat="1" ht="2.25" customHeight="1">
      <c r="B39" s="421"/>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421"/>
      <c r="AF39" s="421"/>
    </row>
    <row r="40" spans="1:32" s="410" customFormat="1" ht="12.75" customHeight="1">
      <c r="B40" s="1239" t="s">
        <v>3435</v>
      </c>
      <c r="C40" s="1240"/>
      <c r="D40" s="1240"/>
      <c r="E40" s="1240"/>
      <c r="F40" s="1240"/>
      <c r="G40" s="1240"/>
      <c r="H40" s="1240"/>
      <c r="I40" s="1240"/>
      <c r="J40" s="1240"/>
      <c r="K40" s="1240"/>
      <c r="L40" s="1240"/>
      <c r="M40" s="1240"/>
      <c r="N40" s="1240"/>
      <c r="O40" s="1240"/>
      <c r="P40" s="1240"/>
      <c r="Q40" s="1240"/>
      <c r="R40" s="1240"/>
      <c r="S40" s="1240"/>
      <c r="T40" s="1240"/>
      <c r="U40" s="1240"/>
      <c r="V40" s="1240"/>
      <c r="W40" s="1240"/>
      <c r="X40" s="1240"/>
      <c r="Y40" s="1240"/>
      <c r="Z40" s="1240"/>
      <c r="AA40" s="1240"/>
      <c r="AB40" s="1240"/>
      <c r="AC40" s="1240"/>
      <c r="AD40" s="1240"/>
      <c r="AE40" s="1240"/>
      <c r="AF40" s="1240"/>
    </row>
    <row r="41" spans="1:32" s="410" customFormat="1" ht="2.25" customHeight="1"/>
    <row r="42" spans="1:32" s="410" customFormat="1" ht="12.75" customHeight="1">
      <c r="A42" s="410">
        <v>3</v>
      </c>
      <c r="B42" s="1236" t="s">
        <v>3436</v>
      </c>
      <c r="C42" s="1237"/>
      <c r="D42" s="1237"/>
      <c r="E42" s="1237"/>
      <c r="F42" s="1237"/>
      <c r="G42" s="1237"/>
      <c r="H42" s="1237"/>
      <c r="I42" s="1237"/>
      <c r="J42" s="1237"/>
      <c r="K42" s="1237"/>
      <c r="L42" s="1237"/>
      <c r="M42" s="1237"/>
      <c r="N42" s="1237"/>
      <c r="O42" s="1237"/>
      <c r="P42" s="1237"/>
      <c r="Q42" s="1237"/>
      <c r="R42" s="1237"/>
      <c r="S42" s="1237"/>
      <c r="T42" s="1237"/>
      <c r="U42" s="1237"/>
      <c r="V42" s="1237"/>
      <c r="W42" s="1237"/>
      <c r="X42" s="1237"/>
      <c r="Y42" s="1237"/>
      <c r="Z42" s="1237"/>
      <c r="AA42" s="1237"/>
      <c r="AB42" s="1237"/>
      <c r="AC42" s="1237"/>
      <c r="AD42" s="1237"/>
      <c r="AE42" s="1237"/>
      <c r="AF42" s="1237"/>
    </row>
    <row r="43" spans="1:32" s="410" customFormat="1" ht="2.25" customHeight="1">
      <c r="A43" s="412"/>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row>
    <row r="44" spans="1:32" s="410" customFormat="1" ht="12.75" customHeight="1">
      <c r="A44" s="410">
        <v>4</v>
      </c>
      <c r="B44" s="1236" t="s">
        <v>3437</v>
      </c>
      <c r="C44" s="1238"/>
      <c r="D44" s="1238"/>
      <c r="E44" s="1238"/>
      <c r="F44" s="1238"/>
      <c r="G44" s="1238"/>
      <c r="H44" s="1238"/>
      <c r="I44" s="1238"/>
      <c r="J44" s="1238"/>
      <c r="K44" s="1238"/>
      <c r="L44" s="1238"/>
      <c r="M44" s="1238"/>
      <c r="N44" s="1238"/>
      <c r="O44" s="1238"/>
      <c r="P44" s="1238"/>
      <c r="Q44" s="1238"/>
      <c r="R44" s="1238"/>
      <c r="S44" s="1238"/>
      <c r="T44" s="1238"/>
      <c r="U44" s="1238"/>
      <c r="V44" s="1238"/>
      <c r="W44" s="1238"/>
      <c r="X44" s="1238"/>
      <c r="Y44" s="1238"/>
      <c r="Z44" s="1238"/>
      <c r="AA44" s="1238"/>
      <c r="AB44" s="1238"/>
      <c r="AC44" s="1238"/>
      <c r="AD44" s="1238"/>
      <c r="AE44" s="1238"/>
      <c r="AF44" s="1238"/>
    </row>
    <row r="45" spans="1:32" s="410" customFormat="1" ht="2.25" customHeight="1"/>
    <row r="46" spans="1:32" s="410" customFormat="1" ht="12.75" customHeight="1">
      <c r="A46" s="410">
        <v>5</v>
      </c>
      <c r="B46" s="1239" t="s">
        <v>3438</v>
      </c>
      <c r="C46" s="1208"/>
      <c r="D46" s="1208"/>
      <c r="E46" s="1208"/>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row>
    <row r="47" spans="1:32" s="410" customFormat="1" ht="2.25" customHeight="1">
      <c r="B47" s="421"/>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row>
    <row r="48" spans="1:32" s="410" customFormat="1" ht="12.75" customHeight="1">
      <c r="B48" s="1239" t="s">
        <v>3439</v>
      </c>
      <c r="C48" s="1240"/>
      <c r="D48" s="1240"/>
      <c r="E48" s="1240"/>
      <c r="F48" s="1240"/>
      <c r="G48" s="1240"/>
      <c r="H48" s="1240"/>
      <c r="I48" s="1240"/>
      <c r="J48" s="1240"/>
      <c r="K48" s="1240"/>
      <c r="L48" s="1240"/>
      <c r="M48" s="1240"/>
      <c r="N48" s="1240"/>
      <c r="O48" s="1240"/>
      <c r="P48" s="1240"/>
      <c r="Q48" s="1240"/>
      <c r="R48" s="1240"/>
      <c r="S48" s="1240"/>
      <c r="T48" s="1240"/>
      <c r="U48" s="1240"/>
      <c r="V48" s="1240"/>
      <c r="W48" s="1240"/>
      <c r="X48" s="1240"/>
      <c r="Y48" s="1240"/>
      <c r="Z48" s="1240"/>
      <c r="AA48" s="1240"/>
      <c r="AB48" s="1240"/>
      <c r="AC48" s="1240"/>
      <c r="AD48" s="1240"/>
      <c r="AE48" s="1240"/>
      <c r="AF48" s="1240"/>
    </row>
    <row r="49" spans="1:32" s="410" customFormat="1" ht="2.25" customHeight="1"/>
    <row r="50" spans="1:32" s="410" customFormat="1" ht="12.75" customHeight="1">
      <c r="A50" s="410">
        <v>6</v>
      </c>
      <c r="B50" s="1239" t="s">
        <v>3440</v>
      </c>
      <c r="C50" s="1240"/>
      <c r="D50" s="1240"/>
      <c r="E50" s="1240"/>
      <c r="F50" s="1240"/>
      <c r="G50" s="1240"/>
      <c r="H50" s="1240"/>
      <c r="I50" s="1240"/>
      <c r="J50" s="1240"/>
      <c r="K50" s="1240"/>
      <c r="L50" s="1240"/>
      <c r="M50" s="1240"/>
      <c r="N50" s="1240"/>
      <c r="O50" s="1240"/>
      <c r="P50" s="1240"/>
      <c r="Q50" s="1240"/>
      <c r="R50" s="1240"/>
      <c r="S50" s="1240"/>
      <c r="T50" s="1240"/>
      <c r="U50" s="1240"/>
      <c r="V50" s="1240"/>
      <c r="W50" s="1240"/>
      <c r="X50" s="1240"/>
      <c r="Y50" s="1240"/>
      <c r="Z50" s="1240"/>
      <c r="AA50" s="1240"/>
      <c r="AB50" s="1240"/>
      <c r="AC50" s="1240"/>
      <c r="AD50" s="1240"/>
      <c r="AE50" s="1240"/>
      <c r="AF50" s="1240"/>
    </row>
    <row r="51" spans="1:32" s="410" customFormat="1" ht="2.25" customHeight="1"/>
    <row r="52" spans="1:32" s="410" customFormat="1" ht="12.75" customHeight="1">
      <c r="A52" s="1226" t="s">
        <v>3441</v>
      </c>
      <c r="B52" s="1226"/>
      <c r="C52" s="1226"/>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row>
    <row r="53" spans="1:32" s="410" customFormat="1" ht="2.25" customHeight="1"/>
    <row r="54" spans="1:32" s="410" customFormat="1" ht="12.75" customHeight="1">
      <c r="A54" s="1227" t="s">
        <v>3442</v>
      </c>
      <c r="B54" s="1227"/>
      <c r="C54" s="1227"/>
      <c r="D54" s="1227"/>
      <c r="E54" s="1227"/>
      <c r="F54" s="1227"/>
      <c r="G54" s="1227"/>
      <c r="H54" s="1227"/>
      <c r="I54" s="1227"/>
      <c r="J54" s="1227"/>
      <c r="K54" s="1227"/>
      <c r="L54" s="1227"/>
      <c r="M54" s="1227"/>
      <c r="N54" s="1227"/>
      <c r="O54" s="1227"/>
      <c r="P54" s="1227"/>
      <c r="Q54" s="1227"/>
      <c r="R54" s="1227"/>
      <c r="S54" s="1227"/>
      <c r="T54" s="1227"/>
      <c r="U54" s="1227"/>
      <c r="V54" s="1227"/>
      <c r="W54" s="1227"/>
      <c r="X54" s="1227"/>
      <c r="Y54" s="1227"/>
      <c r="Z54" s="1227"/>
      <c r="AA54" s="1227"/>
      <c r="AB54" s="1227"/>
      <c r="AC54" s="1227"/>
      <c r="AD54" s="1227"/>
      <c r="AE54" s="1227"/>
      <c r="AF54" s="1227"/>
    </row>
    <row r="55" spans="1:32" s="410" customFormat="1" ht="2.25" customHeight="1"/>
    <row r="56" spans="1:32" s="410" customFormat="1" ht="24" customHeight="1">
      <c r="A56" s="1228" t="s">
        <v>1951</v>
      </c>
      <c r="B56" s="1229"/>
      <c r="C56" s="1230"/>
      <c r="D56" s="1231" t="s">
        <v>3443</v>
      </c>
      <c r="E56" s="1232"/>
      <c r="F56" s="1232"/>
      <c r="G56" s="1232"/>
      <c r="H56" s="1232"/>
      <c r="I56" s="1232"/>
      <c r="J56" s="1232"/>
      <c r="K56" s="1232"/>
      <c r="L56" s="1232"/>
      <c r="M56" s="1232"/>
      <c r="N56" s="1232"/>
      <c r="O56" s="1232"/>
      <c r="P56" s="1233"/>
      <c r="Q56" s="1234" t="s">
        <v>1951</v>
      </c>
      <c r="R56" s="1232"/>
      <c r="S56" s="1235"/>
      <c r="T56" s="1231" t="s">
        <v>3443</v>
      </c>
      <c r="U56" s="1232"/>
      <c r="V56" s="1232"/>
      <c r="W56" s="1232"/>
      <c r="X56" s="1232"/>
      <c r="Y56" s="1232"/>
      <c r="Z56" s="1232"/>
      <c r="AA56" s="1232"/>
      <c r="AB56" s="1232"/>
      <c r="AC56" s="1232"/>
      <c r="AD56" s="1232"/>
      <c r="AE56" s="1232"/>
      <c r="AF56" s="1235"/>
    </row>
    <row r="57" spans="1:32" s="410" customFormat="1" ht="24" customHeight="1">
      <c r="A57" s="1218">
        <v>1</v>
      </c>
      <c r="B57" s="1219"/>
      <c r="C57" s="1220"/>
      <c r="D57" s="1221" t="s">
        <v>3444</v>
      </c>
      <c r="E57" s="1222"/>
      <c r="F57" s="1222"/>
      <c r="G57" s="1222"/>
      <c r="H57" s="1222"/>
      <c r="I57" s="1222"/>
      <c r="J57" s="1222"/>
      <c r="K57" s="1222"/>
      <c r="L57" s="1222"/>
      <c r="M57" s="1222"/>
      <c r="N57" s="1223" t="s">
        <v>2900</v>
      </c>
      <c r="O57" s="1224"/>
      <c r="P57" s="1225"/>
      <c r="Q57" s="423" t="s">
        <v>2900</v>
      </c>
      <c r="R57" s="424">
        <v>13</v>
      </c>
      <c r="S57" s="425"/>
      <c r="T57" s="1221" t="s">
        <v>143</v>
      </c>
      <c r="U57" s="1222"/>
      <c r="V57" s="1222"/>
      <c r="W57" s="1222"/>
      <c r="X57" s="1222"/>
      <c r="Y57" s="1222"/>
      <c r="Z57" s="1222"/>
      <c r="AA57" s="1222"/>
      <c r="AB57" s="1222"/>
      <c r="AC57" s="1222"/>
      <c r="AD57" s="1223" t="s">
        <v>2900</v>
      </c>
      <c r="AE57" s="1224"/>
      <c r="AF57" s="1225"/>
    </row>
    <row r="58" spans="1:32" s="410" customFormat="1" ht="24" customHeight="1">
      <c r="A58" s="1215">
        <v>2</v>
      </c>
      <c r="B58" s="1216"/>
      <c r="C58" s="1217"/>
      <c r="D58" s="1184" t="s">
        <v>3445</v>
      </c>
      <c r="E58" s="1185"/>
      <c r="F58" s="1185"/>
      <c r="G58" s="1185"/>
      <c r="H58" s="1185"/>
      <c r="I58" s="1185"/>
      <c r="J58" s="1185"/>
      <c r="K58" s="1185"/>
      <c r="L58" s="1185"/>
      <c r="M58" s="1185"/>
      <c r="N58" s="1186" t="s">
        <v>2900</v>
      </c>
      <c r="O58" s="1187"/>
      <c r="P58" s="1188"/>
      <c r="Q58" s="426"/>
      <c r="R58" s="427">
        <v>14</v>
      </c>
      <c r="S58" s="428"/>
      <c r="T58" s="1184" t="s">
        <v>3446</v>
      </c>
      <c r="U58" s="1185"/>
      <c r="V58" s="1185"/>
      <c r="W58" s="1185"/>
      <c r="X58" s="1185"/>
      <c r="Y58" s="1185"/>
      <c r="Z58" s="1185"/>
      <c r="AA58" s="1185"/>
      <c r="AB58" s="1185"/>
      <c r="AC58" s="1185"/>
      <c r="AD58" s="1186"/>
      <c r="AE58" s="1187"/>
      <c r="AF58" s="1188"/>
    </row>
    <row r="59" spans="1:32" s="410" customFormat="1" ht="24" customHeight="1">
      <c r="A59" s="1215">
        <v>3</v>
      </c>
      <c r="B59" s="1216"/>
      <c r="C59" s="1217"/>
      <c r="D59" s="1184" t="s">
        <v>3447</v>
      </c>
      <c r="E59" s="1185"/>
      <c r="F59" s="1185"/>
      <c r="G59" s="1185"/>
      <c r="H59" s="1185"/>
      <c r="I59" s="1185"/>
      <c r="J59" s="1185"/>
      <c r="K59" s="1185"/>
      <c r="L59" s="1185"/>
      <c r="M59" s="1185"/>
      <c r="N59" s="1186" t="s">
        <v>2900</v>
      </c>
      <c r="O59" s="1187"/>
      <c r="P59" s="1188"/>
      <c r="Q59" s="426"/>
      <c r="R59" s="427">
        <v>15</v>
      </c>
      <c r="S59" s="428"/>
      <c r="T59" s="1184" t="s">
        <v>3448</v>
      </c>
      <c r="U59" s="1185"/>
      <c r="V59" s="1185"/>
      <c r="W59" s="1185"/>
      <c r="X59" s="1185"/>
      <c r="Y59" s="1185"/>
      <c r="Z59" s="1185"/>
      <c r="AA59" s="1185"/>
      <c r="AB59" s="1185"/>
      <c r="AC59" s="1185"/>
      <c r="AD59" s="1186" t="s">
        <v>2900</v>
      </c>
      <c r="AE59" s="1187"/>
      <c r="AF59" s="1188"/>
    </row>
    <row r="60" spans="1:32" s="410" customFormat="1" ht="24" customHeight="1">
      <c r="A60" s="1215">
        <v>4</v>
      </c>
      <c r="B60" s="1216"/>
      <c r="C60" s="1217"/>
      <c r="D60" s="1184" t="s">
        <v>3449</v>
      </c>
      <c r="E60" s="1185"/>
      <c r="F60" s="1185"/>
      <c r="G60" s="1185"/>
      <c r="H60" s="1185"/>
      <c r="I60" s="1185"/>
      <c r="J60" s="1185"/>
      <c r="K60" s="1185"/>
      <c r="L60" s="1185"/>
      <c r="M60" s="1185"/>
      <c r="N60" s="1186" t="s">
        <v>2900</v>
      </c>
      <c r="O60" s="1187"/>
      <c r="P60" s="1188"/>
      <c r="Q60" s="426"/>
      <c r="R60" s="427">
        <v>16</v>
      </c>
      <c r="S60" s="428"/>
      <c r="T60" s="1184" t="s">
        <v>3450</v>
      </c>
      <c r="U60" s="1185"/>
      <c r="V60" s="1185"/>
      <c r="W60" s="1185"/>
      <c r="X60" s="1185"/>
      <c r="Y60" s="1185"/>
      <c r="Z60" s="1185"/>
      <c r="AA60" s="1185"/>
      <c r="AB60" s="1185"/>
      <c r="AC60" s="1185"/>
      <c r="AD60" s="1186" t="s">
        <v>2900</v>
      </c>
      <c r="AE60" s="1187"/>
      <c r="AF60" s="1188"/>
    </row>
    <row r="61" spans="1:32" s="410" customFormat="1" ht="24" customHeight="1">
      <c r="A61" s="1215">
        <v>5</v>
      </c>
      <c r="B61" s="1216"/>
      <c r="C61" s="1217"/>
      <c r="D61" s="1184" t="s">
        <v>1989</v>
      </c>
      <c r="E61" s="1185"/>
      <c r="F61" s="1185"/>
      <c r="G61" s="1185"/>
      <c r="H61" s="1185"/>
      <c r="I61" s="1185"/>
      <c r="J61" s="1185"/>
      <c r="K61" s="1185"/>
      <c r="L61" s="1185"/>
      <c r="M61" s="1185"/>
      <c r="N61" s="1186" t="s">
        <v>2900</v>
      </c>
      <c r="O61" s="1187"/>
      <c r="P61" s="1188"/>
      <c r="Q61" s="426"/>
      <c r="R61" s="427">
        <v>17</v>
      </c>
      <c r="S61" s="428"/>
      <c r="T61" s="1184" t="s">
        <v>3451</v>
      </c>
      <c r="U61" s="1185"/>
      <c r="V61" s="1185"/>
      <c r="W61" s="1185"/>
      <c r="X61" s="1185"/>
      <c r="Y61" s="1185"/>
      <c r="Z61" s="1185"/>
      <c r="AA61" s="1185"/>
      <c r="AB61" s="1185"/>
      <c r="AC61" s="1185"/>
      <c r="AD61" s="1186" t="s">
        <v>2900</v>
      </c>
      <c r="AE61" s="1187"/>
      <c r="AF61" s="1188"/>
    </row>
    <row r="62" spans="1:32" s="410" customFormat="1" ht="24" customHeight="1">
      <c r="A62" s="1215">
        <v>6</v>
      </c>
      <c r="B62" s="1216"/>
      <c r="C62" s="1217"/>
      <c r="D62" s="1184" t="s">
        <v>3219</v>
      </c>
      <c r="E62" s="1185"/>
      <c r="F62" s="1185"/>
      <c r="G62" s="1185"/>
      <c r="H62" s="1185"/>
      <c r="I62" s="1185"/>
      <c r="J62" s="1185"/>
      <c r="K62" s="1185"/>
      <c r="L62" s="1185"/>
      <c r="M62" s="1185"/>
      <c r="N62" s="1189" t="s">
        <v>2900</v>
      </c>
      <c r="O62" s="1190"/>
      <c r="P62" s="1191"/>
      <c r="Q62" s="429"/>
      <c r="R62" s="1207">
        <v>18</v>
      </c>
      <c r="S62" s="430"/>
      <c r="T62" s="1184" t="s">
        <v>3452</v>
      </c>
      <c r="U62" s="1185"/>
      <c r="V62" s="1185"/>
      <c r="W62" s="1185"/>
      <c r="X62" s="1185"/>
      <c r="Y62" s="1185"/>
      <c r="Z62" s="1185"/>
      <c r="AA62" s="1185"/>
      <c r="AB62" s="1185"/>
      <c r="AC62" s="1185"/>
      <c r="AD62" s="1189" t="s">
        <v>2900</v>
      </c>
      <c r="AE62" s="1190"/>
      <c r="AF62" s="1191"/>
    </row>
    <row r="63" spans="1:32" s="410" customFormat="1" ht="24" customHeight="1">
      <c r="A63" s="1215">
        <v>7</v>
      </c>
      <c r="B63" s="1216"/>
      <c r="C63" s="1217"/>
      <c r="D63" s="1184" t="s">
        <v>3453</v>
      </c>
      <c r="E63" s="1185"/>
      <c r="F63" s="1185"/>
      <c r="G63" s="1185"/>
      <c r="H63" s="1185"/>
      <c r="I63" s="1185"/>
      <c r="J63" s="1185"/>
      <c r="K63" s="1185"/>
      <c r="L63" s="1185"/>
      <c r="M63" s="1185"/>
      <c r="N63" s="1192" t="s">
        <v>2900</v>
      </c>
      <c r="O63" s="1193"/>
      <c r="P63" s="1194"/>
      <c r="Q63" s="431"/>
      <c r="R63" s="1208"/>
      <c r="S63" s="432"/>
      <c r="T63" s="1195" t="s">
        <v>2900</v>
      </c>
      <c r="U63" s="1196"/>
      <c r="V63" s="1196"/>
      <c r="W63" s="1196"/>
      <c r="X63" s="1196"/>
      <c r="Y63" s="1196"/>
      <c r="Z63" s="1196"/>
      <c r="AA63" s="1196"/>
      <c r="AB63" s="1196"/>
      <c r="AC63" s="1196"/>
      <c r="AD63" s="1196"/>
      <c r="AE63" s="1196"/>
      <c r="AF63" s="1197"/>
    </row>
    <row r="64" spans="1:32" s="410" customFormat="1" ht="24" customHeight="1">
      <c r="A64" s="1215">
        <v>8</v>
      </c>
      <c r="B64" s="1216"/>
      <c r="C64" s="1217"/>
      <c r="D64" s="433" t="s">
        <v>1695</v>
      </c>
      <c r="E64" s="434"/>
      <c r="F64" s="434"/>
      <c r="G64" s="1204" t="s">
        <v>3454</v>
      </c>
      <c r="H64" s="1205"/>
      <c r="I64" s="1205"/>
      <c r="J64" s="1205"/>
      <c r="K64" s="1205"/>
      <c r="L64" s="1205"/>
      <c r="M64" s="1206"/>
      <c r="N64" s="1189" t="s">
        <v>2900</v>
      </c>
      <c r="O64" s="1190"/>
      <c r="P64" s="1191"/>
      <c r="Q64" s="431"/>
      <c r="R64" s="1208"/>
      <c r="S64" s="432"/>
      <c r="T64" s="1198"/>
      <c r="U64" s="1199"/>
      <c r="V64" s="1199"/>
      <c r="W64" s="1199"/>
      <c r="X64" s="1199"/>
      <c r="Y64" s="1199"/>
      <c r="Z64" s="1199"/>
      <c r="AA64" s="1199"/>
      <c r="AB64" s="1199"/>
      <c r="AC64" s="1199"/>
      <c r="AD64" s="1199"/>
      <c r="AE64" s="1199"/>
      <c r="AF64" s="1200"/>
    </row>
    <row r="65" spans="1:32" s="410" customFormat="1" ht="24" customHeight="1">
      <c r="A65" s="1215">
        <v>9</v>
      </c>
      <c r="B65" s="1216"/>
      <c r="C65" s="1217"/>
      <c r="D65" s="1184" t="s">
        <v>3455</v>
      </c>
      <c r="E65" s="1185"/>
      <c r="F65" s="1185"/>
      <c r="G65" s="1185"/>
      <c r="H65" s="1185"/>
      <c r="I65" s="1185"/>
      <c r="J65" s="1185"/>
      <c r="K65" s="1185"/>
      <c r="L65" s="1185"/>
      <c r="M65" s="1185"/>
      <c r="N65" s="1189" t="s">
        <v>2900</v>
      </c>
      <c r="O65" s="1190"/>
      <c r="P65" s="1191"/>
      <c r="Q65" s="431"/>
      <c r="R65" s="1208"/>
      <c r="S65" s="432"/>
      <c r="T65" s="1198"/>
      <c r="U65" s="1199"/>
      <c r="V65" s="1199"/>
      <c r="W65" s="1199"/>
      <c r="X65" s="1199"/>
      <c r="Y65" s="1199"/>
      <c r="Z65" s="1199"/>
      <c r="AA65" s="1199"/>
      <c r="AB65" s="1199"/>
      <c r="AC65" s="1199"/>
      <c r="AD65" s="1199"/>
      <c r="AE65" s="1199"/>
      <c r="AF65" s="1200"/>
    </row>
    <row r="66" spans="1:32" s="410" customFormat="1" ht="24" customHeight="1">
      <c r="A66" s="1215">
        <v>10</v>
      </c>
      <c r="B66" s="1216"/>
      <c r="C66" s="1217"/>
      <c r="D66" s="1184" t="s">
        <v>3456</v>
      </c>
      <c r="E66" s="1185"/>
      <c r="F66" s="1185"/>
      <c r="G66" s="1185"/>
      <c r="H66" s="1185"/>
      <c r="I66" s="1185"/>
      <c r="J66" s="1185"/>
      <c r="K66" s="1185"/>
      <c r="L66" s="1185"/>
      <c r="M66" s="1185"/>
      <c r="N66" s="1192" t="s">
        <v>2900</v>
      </c>
      <c r="O66" s="1193"/>
      <c r="P66" s="1194"/>
      <c r="Q66" s="431"/>
      <c r="R66" s="1208"/>
      <c r="S66" s="432"/>
      <c r="T66" s="1198"/>
      <c r="U66" s="1199"/>
      <c r="V66" s="1199"/>
      <c r="W66" s="1199"/>
      <c r="X66" s="1199"/>
      <c r="Y66" s="1199"/>
      <c r="Z66" s="1199"/>
      <c r="AA66" s="1199"/>
      <c r="AB66" s="1199"/>
      <c r="AC66" s="1199"/>
      <c r="AD66" s="1199"/>
      <c r="AE66" s="1199"/>
      <c r="AF66" s="1200"/>
    </row>
    <row r="67" spans="1:32" s="410" customFormat="1" ht="24" customHeight="1">
      <c r="A67" s="1215">
        <v>11</v>
      </c>
      <c r="B67" s="1216"/>
      <c r="C67" s="1217"/>
      <c r="D67" s="1184" t="s">
        <v>3457</v>
      </c>
      <c r="E67" s="1185"/>
      <c r="F67" s="1185"/>
      <c r="G67" s="1185"/>
      <c r="H67" s="1185"/>
      <c r="I67" s="1185"/>
      <c r="J67" s="1185"/>
      <c r="K67" s="1185"/>
      <c r="L67" s="1185"/>
      <c r="M67" s="1185"/>
      <c r="N67" s="1186" t="s">
        <v>2900</v>
      </c>
      <c r="O67" s="1187"/>
      <c r="P67" s="1188"/>
      <c r="Q67" s="431"/>
      <c r="R67" s="1208"/>
      <c r="S67" s="432"/>
      <c r="T67" s="1198"/>
      <c r="U67" s="1199"/>
      <c r="V67" s="1199"/>
      <c r="W67" s="1199"/>
      <c r="X67" s="1199"/>
      <c r="Y67" s="1199"/>
      <c r="Z67" s="1199"/>
      <c r="AA67" s="1199"/>
      <c r="AB67" s="1199"/>
      <c r="AC67" s="1199"/>
      <c r="AD67" s="1199"/>
      <c r="AE67" s="1199"/>
      <c r="AF67" s="1200"/>
    </row>
    <row r="68" spans="1:32" s="410" customFormat="1" ht="24" customHeight="1">
      <c r="A68" s="1257">
        <v>12</v>
      </c>
      <c r="B68" s="1258"/>
      <c r="C68" s="1259"/>
      <c r="D68" s="1210" t="s">
        <v>3458</v>
      </c>
      <c r="E68" s="1211"/>
      <c r="F68" s="1211"/>
      <c r="G68" s="1211"/>
      <c r="H68" s="1211"/>
      <c r="I68" s="1211"/>
      <c r="J68" s="1211"/>
      <c r="K68" s="1211"/>
      <c r="L68" s="1211"/>
      <c r="M68" s="1211"/>
      <c r="N68" s="1212" t="s">
        <v>2900</v>
      </c>
      <c r="O68" s="1213"/>
      <c r="P68" s="1214"/>
      <c r="Q68" s="435"/>
      <c r="R68" s="1209"/>
      <c r="S68" s="436"/>
      <c r="T68" s="1201"/>
      <c r="U68" s="1202"/>
      <c r="V68" s="1202"/>
      <c r="W68" s="1202"/>
      <c r="X68" s="1202"/>
      <c r="Y68" s="1202"/>
      <c r="Z68" s="1202"/>
      <c r="AA68" s="1202"/>
      <c r="AB68" s="1202"/>
      <c r="AC68" s="1202"/>
      <c r="AD68" s="1202"/>
      <c r="AE68" s="1202"/>
      <c r="AF68" s="1203"/>
    </row>
    <row r="69" spans="1:32" s="410" customFormat="1" ht="20.25" customHeight="1">
      <c r="A69" s="437"/>
      <c r="B69" s="421"/>
      <c r="C69" s="421"/>
      <c r="D69" s="421"/>
      <c r="E69" s="421"/>
      <c r="F69" s="421"/>
      <c r="G69" s="421"/>
      <c r="H69" s="421"/>
      <c r="I69" s="421"/>
      <c r="J69" s="421"/>
      <c r="K69" s="421"/>
      <c r="L69" s="421"/>
      <c r="M69" s="421"/>
      <c r="Q69" s="421"/>
      <c r="R69" s="421"/>
      <c r="S69" s="421"/>
      <c r="T69" s="421"/>
      <c r="U69" s="421"/>
      <c r="V69" s="421"/>
      <c r="W69" s="421"/>
      <c r="X69" s="421"/>
      <c r="Y69" s="421"/>
      <c r="Z69" s="421"/>
      <c r="AA69" s="421"/>
      <c r="AB69" s="421"/>
      <c r="AC69" s="421"/>
      <c r="AD69" s="754"/>
      <c r="AE69" s="421"/>
      <c r="AF69" s="421"/>
    </row>
    <row r="70" spans="1:32" s="410" customFormat="1" ht="12.75" customHeight="1">
      <c r="A70" s="415"/>
    </row>
    <row r="71" spans="1:32" s="410" customFormat="1" ht="12.75" customHeight="1">
      <c r="A71" s="415"/>
    </row>
    <row r="72" spans="1:32" s="410" customFormat="1" ht="12.75" customHeight="1">
      <c r="A72" s="438"/>
      <c r="B72" s="438"/>
      <c r="C72" s="438"/>
      <c r="D72" s="438"/>
      <c r="E72" s="438"/>
      <c r="F72" s="438"/>
      <c r="G72" s="438"/>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row>
    <row r="73" spans="1:32" s="417" customFormat="1" ht="2.85" customHeight="1">
      <c r="C73" s="439"/>
      <c r="G73" s="439"/>
      <c r="N73" s="439"/>
    </row>
    <row r="74" spans="1:32" s="410" customFormat="1" ht="12.75" customHeight="1">
      <c r="A74" s="438"/>
      <c r="B74" s="438"/>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row>
    <row r="75" spans="1:32" s="410" customFormat="1" ht="12.75" customHeight="1">
      <c r="A75" s="438"/>
      <c r="B75" s="438"/>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row>
    <row r="76" spans="1:32" s="410" customFormat="1" ht="12.75" customHeight="1">
      <c r="A76" s="438"/>
      <c r="B76" s="438"/>
      <c r="C76" s="438"/>
      <c r="D76" s="438"/>
      <c r="E76" s="438"/>
      <c r="F76" s="438"/>
      <c r="G76" s="438"/>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row>
    <row r="77" spans="1:32" s="410" customFormat="1" ht="12.75" customHeight="1">
      <c r="A77" s="438"/>
      <c r="B77" s="438"/>
      <c r="C77" s="438"/>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row>
    <row r="78" spans="1:32" s="410" customFormat="1" ht="12.75" customHeight="1">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row>
    <row r="79" spans="1:32" s="410" customFormat="1" ht="12.75" customHeight="1">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row>
    <row r="80" spans="1:32" s="410" customFormat="1" ht="12.75" customHeight="1">
      <c r="A80" s="440"/>
      <c r="F80" s="440"/>
      <c r="L80" s="440"/>
    </row>
    <row r="81" s="410" customFormat="1" ht="12.75" customHeight="1"/>
    <row r="82" s="410" customFormat="1" ht="12.75" customHeight="1"/>
    <row r="83" s="410" customFormat="1" ht="12.75" customHeight="1"/>
    <row r="84" s="410" customFormat="1" ht="12.75" customHeight="1"/>
  </sheetData>
  <sheetProtection selectLockedCells="1"/>
  <mergeCells count="85">
    <mergeCell ref="A9:G9"/>
    <mergeCell ref="H9:N9"/>
    <mergeCell ref="A63:C63"/>
    <mergeCell ref="A62:C62"/>
    <mergeCell ref="A68:C68"/>
    <mergeCell ref="A67:C67"/>
    <mergeCell ref="A66:C66"/>
    <mergeCell ref="A65:C65"/>
    <mergeCell ref="A64:C64"/>
    <mergeCell ref="B38:AF38"/>
    <mergeCell ref="A11:G26"/>
    <mergeCell ref="H11:N26"/>
    <mergeCell ref="P11:AE14"/>
    <mergeCell ref="AF11:AF14"/>
    <mergeCell ref="P18:R18"/>
    <mergeCell ref="S18:V18"/>
    <mergeCell ref="B3:G3"/>
    <mergeCell ref="A4:AF4"/>
    <mergeCell ref="A5:J6"/>
    <mergeCell ref="B7:J7"/>
    <mergeCell ref="W7:AF7"/>
    <mergeCell ref="W18:AA18"/>
    <mergeCell ref="AB18:AE18"/>
    <mergeCell ref="T24:AE24"/>
    <mergeCell ref="P20:T22"/>
    <mergeCell ref="U20:AF22"/>
    <mergeCell ref="T26:AE26"/>
    <mergeCell ref="B28:AF30"/>
    <mergeCell ref="B34:AF34"/>
    <mergeCell ref="B36:AF36"/>
    <mergeCell ref="B40:AF40"/>
    <mergeCell ref="B42:AF42"/>
    <mergeCell ref="B44:AF44"/>
    <mergeCell ref="B46:AF46"/>
    <mergeCell ref="B50:AF50"/>
    <mergeCell ref="B48:AF48"/>
    <mergeCell ref="A52:AF52"/>
    <mergeCell ref="A54:AF54"/>
    <mergeCell ref="A56:C56"/>
    <mergeCell ref="D56:P56"/>
    <mergeCell ref="Q56:S56"/>
    <mergeCell ref="T56:AF56"/>
    <mergeCell ref="A58:C58"/>
    <mergeCell ref="D58:M58"/>
    <mergeCell ref="N58:P58"/>
    <mergeCell ref="T58:AC58"/>
    <mergeCell ref="AD58:AF58"/>
    <mergeCell ref="A57:C57"/>
    <mergeCell ref="D57:M57"/>
    <mergeCell ref="N57:P57"/>
    <mergeCell ref="T57:AC57"/>
    <mergeCell ref="AD57:AF57"/>
    <mergeCell ref="T61:AC61"/>
    <mergeCell ref="AD61:AF61"/>
    <mergeCell ref="A59:C59"/>
    <mergeCell ref="D59:M59"/>
    <mergeCell ref="N59:P59"/>
    <mergeCell ref="T59:AC59"/>
    <mergeCell ref="AD59:AF59"/>
    <mergeCell ref="A60:C60"/>
    <mergeCell ref="D60:M60"/>
    <mergeCell ref="N60:P60"/>
    <mergeCell ref="T60:AC60"/>
    <mergeCell ref="AD60:AF60"/>
    <mergeCell ref="D66:M66"/>
    <mergeCell ref="N66:P66"/>
    <mergeCell ref="A61:C61"/>
    <mergeCell ref="D61:M61"/>
    <mergeCell ref="N61:P61"/>
    <mergeCell ref="D67:M67"/>
    <mergeCell ref="N67:P67"/>
    <mergeCell ref="AD62:AF62"/>
    <mergeCell ref="D63:M63"/>
    <mergeCell ref="N63:P63"/>
    <mergeCell ref="T63:AF68"/>
    <mergeCell ref="G64:M64"/>
    <mergeCell ref="N64:P64"/>
    <mergeCell ref="D65:M65"/>
    <mergeCell ref="D62:M62"/>
    <mergeCell ref="N62:P62"/>
    <mergeCell ref="R62:R68"/>
    <mergeCell ref="T62:AC62"/>
    <mergeCell ref="D68:M68"/>
    <mergeCell ref="N68:P68"/>
    <mergeCell ref="N65:P65"/>
  </mergeCells>
  <phoneticPr fontId="116"/>
  <dataValidations count="3">
    <dataValidation type="list" allowBlank="1" showInputMessage="1" showErrorMessage="1" prompt="電子・WEB申請の場合は空欄で申請" sqref="B3:G3 B65537:G65537 B131073:G131073 B196609:G196609 B262145:G262145 B327681:G327681 B393217:G393217 B458753:G458753 B524289:G524289 B589825:G589825 B655361:G655361 B720897:G720897 B786433:G786433 B851969:G851969 B917505:G917505 B983041:G983041 IX3:JC3 IX65537:JC65537 IX131073:JC131073 IX196609:JC196609 IX262145:JC262145 IX327681:JC327681 IX393217:JC393217 IX458753:JC458753 IX524289:JC524289 IX589825:JC589825 IX655361:JC655361 IX720897:JC720897 IX786433:JC786433 IX851969:JC851969 IX917505:JC917505 IX983041:JC983041 ST3:SY3 ST65537:SY65537 ST131073:SY131073 ST196609:SY196609 ST262145:SY262145 ST327681:SY327681 ST393217:SY393217 ST458753:SY458753 ST524289:SY524289 ST589825:SY589825 ST655361:SY655361 ST720897:SY720897 ST786433:SY786433 ST851969:SY851969 ST917505:SY917505 ST983041:SY983041 ACP3:ACU3 ACP65537:ACU65537 ACP131073:ACU131073 ACP196609:ACU196609 ACP262145:ACU262145 ACP327681:ACU327681 ACP393217:ACU393217 ACP458753:ACU458753 ACP524289:ACU524289 ACP589825:ACU589825 ACP655361:ACU655361 ACP720897:ACU720897 ACP786433:ACU786433 ACP851969:ACU851969 ACP917505:ACU917505 ACP983041:ACU983041 AML3:AMQ3 AML65537:AMQ65537 AML131073:AMQ131073 AML196609:AMQ196609 AML262145:AMQ262145 AML327681:AMQ327681 AML393217:AMQ393217 AML458753:AMQ458753 AML524289:AMQ524289 AML589825:AMQ589825 AML655361:AMQ655361 AML720897:AMQ720897 AML786433:AMQ786433 AML851969:AMQ851969 AML917505:AMQ917505 AML983041:AMQ983041 AWH3:AWM3 AWH65537:AWM65537 AWH131073:AWM131073 AWH196609:AWM196609 AWH262145:AWM262145 AWH327681:AWM327681 AWH393217:AWM393217 AWH458753:AWM458753 AWH524289:AWM524289 AWH589825:AWM589825 AWH655361:AWM655361 AWH720897:AWM720897 AWH786433:AWM786433 AWH851969:AWM851969 AWH917505:AWM917505 AWH983041:AWM983041 BGD3:BGI3 BGD65537:BGI65537 BGD131073:BGI131073 BGD196609:BGI196609 BGD262145:BGI262145 BGD327681:BGI327681 BGD393217:BGI393217 BGD458753:BGI458753 BGD524289:BGI524289 BGD589825:BGI589825 BGD655361:BGI655361 BGD720897:BGI720897 BGD786433:BGI786433 BGD851969:BGI851969 BGD917505:BGI917505 BGD983041:BGI983041 BPZ3:BQE3 BPZ65537:BQE65537 BPZ131073:BQE131073 BPZ196609:BQE196609 BPZ262145:BQE262145 BPZ327681:BQE327681 BPZ393217:BQE393217 BPZ458753:BQE458753 BPZ524289:BQE524289 BPZ589825:BQE589825 BPZ655361:BQE655361 BPZ720897:BQE720897 BPZ786433:BQE786433 BPZ851969:BQE851969 BPZ917505:BQE917505 BPZ983041:BQE983041 BZV3:CAA3 BZV65537:CAA65537 BZV131073:CAA131073 BZV196609:CAA196609 BZV262145:CAA262145 BZV327681:CAA327681 BZV393217:CAA393217 BZV458753:CAA458753 BZV524289:CAA524289 BZV589825:CAA589825 BZV655361:CAA655361 BZV720897:CAA720897 BZV786433:CAA786433 BZV851969:CAA851969 BZV917505:CAA917505 BZV983041:CAA983041 CJR3:CJW3 CJR65537:CJW65537 CJR131073:CJW131073 CJR196609:CJW196609 CJR262145:CJW262145 CJR327681:CJW327681 CJR393217:CJW393217 CJR458753:CJW458753 CJR524289:CJW524289 CJR589825:CJW589825 CJR655361:CJW655361 CJR720897:CJW720897 CJR786433:CJW786433 CJR851969:CJW851969 CJR917505:CJW917505 CJR983041:CJW983041 CTN3:CTS3 CTN65537:CTS65537 CTN131073:CTS131073 CTN196609:CTS196609 CTN262145:CTS262145 CTN327681:CTS327681 CTN393217:CTS393217 CTN458753:CTS458753 CTN524289:CTS524289 CTN589825:CTS589825 CTN655361:CTS655361 CTN720897:CTS720897 CTN786433:CTS786433 CTN851969:CTS851969 CTN917505:CTS917505 CTN983041:CTS983041 DDJ3:DDO3 DDJ65537:DDO65537 DDJ131073:DDO131073 DDJ196609:DDO196609 DDJ262145:DDO262145 DDJ327681:DDO327681 DDJ393217:DDO393217 DDJ458753:DDO458753 DDJ524289:DDO524289 DDJ589825:DDO589825 DDJ655361:DDO655361 DDJ720897:DDO720897 DDJ786433:DDO786433 DDJ851969:DDO851969 DDJ917505:DDO917505 DDJ983041:DDO983041 DNF3:DNK3 DNF65537:DNK65537 DNF131073:DNK131073 DNF196609:DNK196609 DNF262145:DNK262145 DNF327681:DNK327681 DNF393217:DNK393217 DNF458753:DNK458753 DNF524289:DNK524289 DNF589825:DNK589825 DNF655361:DNK655361 DNF720897:DNK720897 DNF786433:DNK786433 DNF851969:DNK851969 DNF917505:DNK917505 DNF983041:DNK983041 DXB3:DXG3 DXB65537:DXG65537 DXB131073:DXG131073 DXB196609:DXG196609 DXB262145:DXG262145 DXB327681:DXG327681 DXB393217:DXG393217 DXB458753:DXG458753 DXB524289:DXG524289 DXB589825:DXG589825 DXB655361:DXG655361 DXB720897:DXG720897 DXB786433:DXG786433 DXB851969:DXG851969 DXB917505:DXG917505 DXB983041:DXG983041 EGX3:EHC3 EGX65537:EHC65537 EGX131073:EHC131073 EGX196609:EHC196609 EGX262145:EHC262145 EGX327681:EHC327681 EGX393217:EHC393217 EGX458753:EHC458753 EGX524289:EHC524289 EGX589825:EHC589825 EGX655361:EHC655361 EGX720897:EHC720897 EGX786433:EHC786433 EGX851969:EHC851969 EGX917505:EHC917505 EGX983041:EHC983041 EQT3:EQY3 EQT65537:EQY65537 EQT131073:EQY131073 EQT196609:EQY196609 EQT262145:EQY262145 EQT327681:EQY327681 EQT393217:EQY393217 EQT458753:EQY458753 EQT524289:EQY524289 EQT589825:EQY589825 EQT655361:EQY655361 EQT720897:EQY720897 EQT786433:EQY786433 EQT851969:EQY851969 EQT917505:EQY917505 EQT983041:EQY983041 FAP3:FAU3 FAP65537:FAU65537 FAP131073:FAU131073 FAP196609:FAU196609 FAP262145:FAU262145 FAP327681:FAU327681 FAP393217:FAU393217 FAP458753:FAU458753 FAP524289:FAU524289 FAP589825:FAU589825 FAP655361:FAU655361 FAP720897:FAU720897 FAP786433:FAU786433 FAP851969:FAU851969 FAP917505:FAU917505 FAP983041:FAU983041 FKL3:FKQ3 FKL65537:FKQ65537 FKL131073:FKQ131073 FKL196609:FKQ196609 FKL262145:FKQ262145 FKL327681:FKQ327681 FKL393217:FKQ393217 FKL458753:FKQ458753 FKL524289:FKQ524289 FKL589825:FKQ589825 FKL655361:FKQ655361 FKL720897:FKQ720897 FKL786433:FKQ786433 FKL851969:FKQ851969 FKL917505:FKQ917505 FKL983041:FKQ983041 FUH3:FUM3 FUH65537:FUM65537 FUH131073:FUM131073 FUH196609:FUM196609 FUH262145:FUM262145 FUH327681:FUM327681 FUH393217:FUM393217 FUH458753:FUM458753 FUH524289:FUM524289 FUH589825:FUM589825 FUH655361:FUM655361 FUH720897:FUM720897 FUH786433:FUM786433 FUH851969:FUM851969 FUH917505:FUM917505 FUH983041:FUM983041 GED3:GEI3 GED65537:GEI65537 GED131073:GEI131073 GED196609:GEI196609 GED262145:GEI262145 GED327681:GEI327681 GED393217:GEI393217 GED458753:GEI458753 GED524289:GEI524289 GED589825:GEI589825 GED655361:GEI655361 GED720897:GEI720897 GED786433:GEI786433 GED851969:GEI851969 GED917505:GEI917505 GED983041:GEI983041 GNZ3:GOE3 GNZ65537:GOE65537 GNZ131073:GOE131073 GNZ196609:GOE196609 GNZ262145:GOE262145 GNZ327681:GOE327681 GNZ393217:GOE393217 GNZ458753:GOE458753 GNZ524289:GOE524289 GNZ589825:GOE589825 GNZ655361:GOE655361 GNZ720897:GOE720897 GNZ786433:GOE786433 GNZ851969:GOE851969 GNZ917505:GOE917505 GNZ983041:GOE983041 GXV3:GYA3 GXV65537:GYA65537 GXV131073:GYA131073 GXV196609:GYA196609 GXV262145:GYA262145 GXV327681:GYA327681 GXV393217:GYA393217 GXV458753:GYA458753 GXV524289:GYA524289 GXV589825:GYA589825 GXV655361:GYA655361 GXV720897:GYA720897 GXV786433:GYA786433 GXV851969:GYA851969 GXV917505:GYA917505 GXV983041:GYA983041 HHR3:HHW3 HHR65537:HHW65537 HHR131073:HHW131073 HHR196609:HHW196609 HHR262145:HHW262145 HHR327681:HHW327681 HHR393217:HHW393217 HHR458753:HHW458753 HHR524289:HHW524289 HHR589825:HHW589825 HHR655361:HHW655361 HHR720897:HHW720897 HHR786433:HHW786433 HHR851969:HHW851969 HHR917505:HHW917505 HHR983041:HHW983041 HRN3:HRS3 HRN65537:HRS65537 HRN131073:HRS131073 HRN196609:HRS196609 HRN262145:HRS262145 HRN327681:HRS327681 HRN393217:HRS393217 HRN458753:HRS458753 HRN524289:HRS524289 HRN589825:HRS589825 HRN655361:HRS655361 HRN720897:HRS720897 HRN786433:HRS786433 HRN851969:HRS851969 HRN917505:HRS917505 HRN983041:HRS983041 IBJ3:IBO3 IBJ65537:IBO65537 IBJ131073:IBO131073 IBJ196609:IBO196609 IBJ262145:IBO262145 IBJ327681:IBO327681 IBJ393217:IBO393217 IBJ458753:IBO458753 IBJ524289:IBO524289 IBJ589825:IBO589825 IBJ655361:IBO655361 IBJ720897:IBO720897 IBJ786433:IBO786433 IBJ851969:IBO851969 IBJ917505:IBO917505 IBJ983041:IBO983041 ILF3:ILK3 ILF65537:ILK65537 ILF131073:ILK131073 ILF196609:ILK196609 ILF262145:ILK262145 ILF327681:ILK327681 ILF393217:ILK393217 ILF458753:ILK458753 ILF524289:ILK524289 ILF589825:ILK589825 ILF655361:ILK655361 ILF720897:ILK720897 ILF786433:ILK786433 ILF851969:ILK851969 ILF917505:ILK917505 ILF983041:ILK983041 IVB3:IVG3 IVB65537:IVG65537 IVB131073:IVG131073 IVB196609:IVG196609 IVB262145:IVG262145 IVB327681:IVG327681 IVB393217:IVG393217 IVB458753:IVG458753 IVB524289:IVG524289 IVB589825:IVG589825 IVB655361:IVG655361 IVB720897:IVG720897 IVB786433:IVG786433 IVB851969:IVG851969 IVB917505:IVG917505 IVB983041:IVG983041 JEX3:JFC3 JEX65537:JFC65537 JEX131073:JFC131073 JEX196609:JFC196609 JEX262145:JFC262145 JEX327681:JFC327681 JEX393217:JFC393217 JEX458753:JFC458753 JEX524289:JFC524289 JEX589825:JFC589825 JEX655361:JFC655361 JEX720897:JFC720897 JEX786433:JFC786433 JEX851969:JFC851969 JEX917505:JFC917505 JEX983041:JFC983041 JOT3:JOY3 JOT65537:JOY65537 JOT131073:JOY131073 JOT196609:JOY196609 JOT262145:JOY262145 JOT327681:JOY327681 JOT393217:JOY393217 JOT458753:JOY458753 JOT524289:JOY524289 JOT589825:JOY589825 JOT655361:JOY655361 JOT720897:JOY720897 JOT786433:JOY786433 JOT851969:JOY851969 JOT917505:JOY917505 JOT983041:JOY983041 JYP3:JYU3 JYP65537:JYU65537 JYP131073:JYU131073 JYP196609:JYU196609 JYP262145:JYU262145 JYP327681:JYU327681 JYP393217:JYU393217 JYP458753:JYU458753 JYP524289:JYU524289 JYP589825:JYU589825 JYP655361:JYU655361 JYP720897:JYU720897 JYP786433:JYU786433 JYP851969:JYU851969 JYP917505:JYU917505 JYP983041:JYU983041 KIL3:KIQ3 KIL65537:KIQ65537 KIL131073:KIQ131073 KIL196609:KIQ196609 KIL262145:KIQ262145 KIL327681:KIQ327681 KIL393217:KIQ393217 KIL458753:KIQ458753 KIL524289:KIQ524289 KIL589825:KIQ589825 KIL655361:KIQ655361 KIL720897:KIQ720897 KIL786433:KIQ786433 KIL851969:KIQ851969 KIL917505:KIQ917505 KIL983041:KIQ983041 KSH3:KSM3 KSH65537:KSM65537 KSH131073:KSM131073 KSH196609:KSM196609 KSH262145:KSM262145 KSH327681:KSM327681 KSH393217:KSM393217 KSH458753:KSM458753 KSH524289:KSM524289 KSH589825:KSM589825 KSH655361:KSM655361 KSH720897:KSM720897 KSH786433:KSM786433 KSH851969:KSM851969 KSH917505:KSM917505 KSH983041:KSM983041 LCD3:LCI3 LCD65537:LCI65537 LCD131073:LCI131073 LCD196609:LCI196609 LCD262145:LCI262145 LCD327681:LCI327681 LCD393217:LCI393217 LCD458753:LCI458753 LCD524289:LCI524289 LCD589825:LCI589825 LCD655361:LCI655361 LCD720897:LCI720897 LCD786433:LCI786433 LCD851969:LCI851969 LCD917505:LCI917505 LCD983041:LCI983041 LLZ3:LME3 LLZ65537:LME65537 LLZ131073:LME131073 LLZ196609:LME196609 LLZ262145:LME262145 LLZ327681:LME327681 LLZ393217:LME393217 LLZ458753:LME458753 LLZ524289:LME524289 LLZ589825:LME589825 LLZ655361:LME655361 LLZ720897:LME720897 LLZ786433:LME786433 LLZ851969:LME851969 LLZ917505:LME917505 LLZ983041:LME983041 LVV3:LWA3 LVV65537:LWA65537 LVV131073:LWA131073 LVV196609:LWA196609 LVV262145:LWA262145 LVV327681:LWA327681 LVV393217:LWA393217 LVV458753:LWA458753 LVV524289:LWA524289 LVV589825:LWA589825 LVV655361:LWA655361 LVV720897:LWA720897 LVV786433:LWA786433 LVV851969:LWA851969 LVV917505:LWA917505 LVV983041:LWA983041 MFR3:MFW3 MFR65537:MFW65537 MFR131073:MFW131073 MFR196609:MFW196609 MFR262145:MFW262145 MFR327681:MFW327681 MFR393217:MFW393217 MFR458753:MFW458753 MFR524289:MFW524289 MFR589825:MFW589825 MFR655361:MFW655361 MFR720897:MFW720897 MFR786433:MFW786433 MFR851969:MFW851969 MFR917505:MFW917505 MFR983041:MFW983041 MPN3:MPS3 MPN65537:MPS65537 MPN131073:MPS131073 MPN196609:MPS196609 MPN262145:MPS262145 MPN327681:MPS327681 MPN393217:MPS393217 MPN458753:MPS458753 MPN524289:MPS524289 MPN589825:MPS589825 MPN655361:MPS655361 MPN720897:MPS720897 MPN786433:MPS786433 MPN851969:MPS851969 MPN917505:MPS917505 MPN983041:MPS983041 MZJ3:MZO3 MZJ65537:MZO65537 MZJ131073:MZO131073 MZJ196609:MZO196609 MZJ262145:MZO262145 MZJ327681:MZO327681 MZJ393217:MZO393217 MZJ458753:MZO458753 MZJ524289:MZO524289 MZJ589825:MZO589825 MZJ655361:MZO655361 MZJ720897:MZO720897 MZJ786433:MZO786433 MZJ851969:MZO851969 MZJ917505:MZO917505 MZJ983041:MZO983041 NJF3:NJK3 NJF65537:NJK65537 NJF131073:NJK131073 NJF196609:NJK196609 NJF262145:NJK262145 NJF327681:NJK327681 NJF393217:NJK393217 NJF458753:NJK458753 NJF524289:NJK524289 NJF589825:NJK589825 NJF655361:NJK655361 NJF720897:NJK720897 NJF786433:NJK786433 NJF851969:NJK851969 NJF917505:NJK917505 NJF983041:NJK983041 NTB3:NTG3 NTB65537:NTG65537 NTB131073:NTG131073 NTB196609:NTG196609 NTB262145:NTG262145 NTB327681:NTG327681 NTB393217:NTG393217 NTB458753:NTG458753 NTB524289:NTG524289 NTB589825:NTG589825 NTB655361:NTG655361 NTB720897:NTG720897 NTB786433:NTG786433 NTB851969:NTG851969 NTB917505:NTG917505 NTB983041:NTG983041 OCX3:ODC3 OCX65537:ODC65537 OCX131073:ODC131073 OCX196609:ODC196609 OCX262145:ODC262145 OCX327681:ODC327681 OCX393217:ODC393217 OCX458753:ODC458753 OCX524289:ODC524289 OCX589825:ODC589825 OCX655361:ODC655361 OCX720897:ODC720897 OCX786433:ODC786433 OCX851969:ODC851969 OCX917505:ODC917505 OCX983041:ODC983041 OMT3:OMY3 OMT65537:OMY65537 OMT131073:OMY131073 OMT196609:OMY196609 OMT262145:OMY262145 OMT327681:OMY327681 OMT393217:OMY393217 OMT458753:OMY458753 OMT524289:OMY524289 OMT589825:OMY589825 OMT655361:OMY655361 OMT720897:OMY720897 OMT786433:OMY786433 OMT851969:OMY851969 OMT917505:OMY917505 OMT983041:OMY983041 OWP3:OWU3 OWP65537:OWU65537 OWP131073:OWU131073 OWP196609:OWU196609 OWP262145:OWU262145 OWP327681:OWU327681 OWP393217:OWU393217 OWP458753:OWU458753 OWP524289:OWU524289 OWP589825:OWU589825 OWP655361:OWU655361 OWP720897:OWU720897 OWP786433:OWU786433 OWP851969:OWU851969 OWP917505:OWU917505 OWP983041:OWU983041 PGL3:PGQ3 PGL65537:PGQ65537 PGL131073:PGQ131073 PGL196609:PGQ196609 PGL262145:PGQ262145 PGL327681:PGQ327681 PGL393217:PGQ393217 PGL458753:PGQ458753 PGL524289:PGQ524289 PGL589825:PGQ589825 PGL655361:PGQ655361 PGL720897:PGQ720897 PGL786433:PGQ786433 PGL851969:PGQ851969 PGL917505:PGQ917505 PGL983041:PGQ983041 PQH3:PQM3 PQH65537:PQM65537 PQH131073:PQM131073 PQH196609:PQM196609 PQH262145:PQM262145 PQH327681:PQM327681 PQH393217:PQM393217 PQH458753:PQM458753 PQH524289:PQM524289 PQH589825:PQM589825 PQH655361:PQM655361 PQH720897:PQM720897 PQH786433:PQM786433 PQH851969:PQM851969 PQH917505:PQM917505 PQH983041:PQM983041 QAD3:QAI3 QAD65537:QAI65537 QAD131073:QAI131073 QAD196609:QAI196609 QAD262145:QAI262145 QAD327681:QAI327681 QAD393217:QAI393217 QAD458753:QAI458753 QAD524289:QAI524289 QAD589825:QAI589825 QAD655361:QAI655361 QAD720897:QAI720897 QAD786433:QAI786433 QAD851969:QAI851969 QAD917505:QAI917505 QAD983041:QAI983041 QJZ3:QKE3 QJZ65537:QKE65537 QJZ131073:QKE131073 QJZ196609:QKE196609 QJZ262145:QKE262145 QJZ327681:QKE327681 QJZ393217:QKE393217 QJZ458753:QKE458753 QJZ524289:QKE524289 QJZ589825:QKE589825 QJZ655361:QKE655361 QJZ720897:QKE720897 QJZ786433:QKE786433 QJZ851969:QKE851969 QJZ917505:QKE917505 QJZ983041:QKE983041 QTV3:QUA3 QTV65537:QUA65537 QTV131073:QUA131073 QTV196609:QUA196609 QTV262145:QUA262145 QTV327681:QUA327681 QTV393217:QUA393217 QTV458753:QUA458753 QTV524289:QUA524289 QTV589825:QUA589825 QTV655361:QUA655361 QTV720897:QUA720897 QTV786433:QUA786433 QTV851969:QUA851969 QTV917505:QUA917505 QTV983041:QUA983041 RDR3:RDW3 RDR65537:RDW65537 RDR131073:RDW131073 RDR196609:RDW196609 RDR262145:RDW262145 RDR327681:RDW327681 RDR393217:RDW393217 RDR458753:RDW458753 RDR524289:RDW524289 RDR589825:RDW589825 RDR655361:RDW655361 RDR720897:RDW720897 RDR786433:RDW786433 RDR851969:RDW851969 RDR917505:RDW917505 RDR983041:RDW983041 RNN3:RNS3 RNN65537:RNS65537 RNN131073:RNS131073 RNN196609:RNS196609 RNN262145:RNS262145 RNN327681:RNS327681 RNN393217:RNS393217 RNN458753:RNS458753 RNN524289:RNS524289 RNN589825:RNS589825 RNN655361:RNS655361 RNN720897:RNS720897 RNN786433:RNS786433 RNN851969:RNS851969 RNN917505:RNS917505 RNN983041:RNS983041 RXJ3:RXO3 RXJ65537:RXO65537 RXJ131073:RXO131073 RXJ196609:RXO196609 RXJ262145:RXO262145 RXJ327681:RXO327681 RXJ393217:RXO393217 RXJ458753:RXO458753 RXJ524289:RXO524289 RXJ589825:RXO589825 RXJ655361:RXO655361 RXJ720897:RXO720897 RXJ786433:RXO786433 RXJ851969:RXO851969 RXJ917505:RXO917505 RXJ983041:RXO983041 SHF3:SHK3 SHF65537:SHK65537 SHF131073:SHK131073 SHF196609:SHK196609 SHF262145:SHK262145 SHF327681:SHK327681 SHF393217:SHK393217 SHF458753:SHK458753 SHF524289:SHK524289 SHF589825:SHK589825 SHF655361:SHK655361 SHF720897:SHK720897 SHF786433:SHK786433 SHF851969:SHK851969 SHF917505:SHK917505 SHF983041:SHK983041 SRB3:SRG3 SRB65537:SRG65537 SRB131073:SRG131073 SRB196609:SRG196609 SRB262145:SRG262145 SRB327681:SRG327681 SRB393217:SRG393217 SRB458753:SRG458753 SRB524289:SRG524289 SRB589825:SRG589825 SRB655361:SRG655361 SRB720897:SRG720897 SRB786433:SRG786433 SRB851969:SRG851969 SRB917505:SRG917505 SRB983041:SRG983041 TAX3:TBC3 TAX65537:TBC65537 TAX131073:TBC131073 TAX196609:TBC196609 TAX262145:TBC262145 TAX327681:TBC327681 TAX393217:TBC393217 TAX458753:TBC458753 TAX524289:TBC524289 TAX589825:TBC589825 TAX655361:TBC655361 TAX720897:TBC720897 TAX786433:TBC786433 TAX851969:TBC851969 TAX917505:TBC917505 TAX983041:TBC983041 TKT3:TKY3 TKT65537:TKY65537 TKT131073:TKY131073 TKT196609:TKY196609 TKT262145:TKY262145 TKT327681:TKY327681 TKT393217:TKY393217 TKT458753:TKY458753 TKT524289:TKY524289 TKT589825:TKY589825 TKT655361:TKY655361 TKT720897:TKY720897 TKT786433:TKY786433 TKT851969:TKY851969 TKT917505:TKY917505 TKT983041:TKY983041 TUP3:TUU3 TUP65537:TUU65537 TUP131073:TUU131073 TUP196609:TUU196609 TUP262145:TUU262145 TUP327681:TUU327681 TUP393217:TUU393217 TUP458753:TUU458753 TUP524289:TUU524289 TUP589825:TUU589825 TUP655361:TUU655361 TUP720897:TUU720897 TUP786433:TUU786433 TUP851969:TUU851969 TUP917505:TUU917505 TUP983041:TUU983041 UEL3:UEQ3 UEL65537:UEQ65537 UEL131073:UEQ131073 UEL196609:UEQ196609 UEL262145:UEQ262145 UEL327681:UEQ327681 UEL393217:UEQ393217 UEL458753:UEQ458753 UEL524289:UEQ524289 UEL589825:UEQ589825 UEL655361:UEQ655361 UEL720897:UEQ720897 UEL786433:UEQ786433 UEL851969:UEQ851969 UEL917505:UEQ917505 UEL983041:UEQ983041 UOH3:UOM3 UOH65537:UOM65537 UOH131073:UOM131073 UOH196609:UOM196609 UOH262145:UOM262145 UOH327681:UOM327681 UOH393217:UOM393217 UOH458753:UOM458753 UOH524289:UOM524289 UOH589825:UOM589825 UOH655361:UOM655361 UOH720897:UOM720897 UOH786433:UOM786433 UOH851969:UOM851969 UOH917505:UOM917505 UOH983041:UOM983041 UYD3:UYI3 UYD65537:UYI65537 UYD131073:UYI131073 UYD196609:UYI196609 UYD262145:UYI262145 UYD327681:UYI327681 UYD393217:UYI393217 UYD458753:UYI458753 UYD524289:UYI524289 UYD589825:UYI589825 UYD655361:UYI655361 UYD720897:UYI720897 UYD786433:UYI786433 UYD851969:UYI851969 UYD917505:UYI917505 UYD983041:UYI983041 VHZ3:VIE3 VHZ65537:VIE65537 VHZ131073:VIE131073 VHZ196609:VIE196609 VHZ262145:VIE262145 VHZ327681:VIE327681 VHZ393217:VIE393217 VHZ458753:VIE458753 VHZ524289:VIE524289 VHZ589825:VIE589825 VHZ655361:VIE655361 VHZ720897:VIE720897 VHZ786433:VIE786433 VHZ851969:VIE851969 VHZ917505:VIE917505 VHZ983041:VIE983041 VRV3:VSA3 VRV65537:VSA65537 VRV131073:VSA131073 VRV196609:VSA196609 VRV262145:VSA262145 VRV327681:VSA327681 VRV393217:VSA393217 VRV458753:VSA458753 VRV524289:VSA524289 VRV589825:VSA589825 VRV655361:VSA655361 VRV720897:VSA720897 VRV786433:VSA786433 VRV851969:VSA851969 VRV917505:VSA917505 VRV983041:VSA983041 WBR3:WBW3 WBR65537:WBW65537 WBR131073:WBW131073 WBR196609:WBW196609 WBR262145:WBW262145 WBR327681:WBW327681 WBR393217:WBW393217 WBR458753:WBW458753 WBR524289:WBW524289 WBR589825:WBW589825 WBR655361:WBW655361 WBR720897:WBW720897 WBR786433:WBW786433 WBR851969:WBW851969 WBR917505:WBW917505 WBR983041:WBW983041 WLN3:WLS3 WLN65537:WLS65537 WLN131073:WLS131073 WLN196609:WLS196609 WLN262145:WLS262145 WLN327681:WLS327681 WLN393217:WLS393217 WLN458753:WLS458753 WLN524289:WLS524289 WLN589825:WLS589825 WLN655361:WLS655361 WLN720897:WLS720897 WLN786433:WLS786433 WLN851969:WLS851969 WLN917505:WLS917505 WLN983041:WLS983041 WVJ3:WVO3 WVJ65537:WVO65537 WVJ131073:WVO131073 WVJ196609:WVO196609 WVJ262145:WVO262145 WVJ327681:WVO327681 WVJ393217:WVO393217 WVJ458753:WVO458753 WVJ524289:WVO524289 WVJ589825:WVO589825 WVJ655361:WVO655361 WVJ720897:WVO720897 WVJ786433:WVO786433 WVJ851969:WVO851969 WVJ917505:WVO917505 WVJ983041:WVO983041" xr:uid="{00000000-0002-0000-1300-000000000000}">
      <formula1>"　,正,副,正・副"</formula1>
    </dataValidation>
    <dataValidation type="list" allowBlank="1" showInputMessage="1" showErrorMessage="1" prompt="セル内右側ダブルクリックで○が表示できます。" sqref="N57:N68 N65593:N65604 N131129:N131140 N196665:N196676 N262201:N262212 N327737:N327748 N393273:N393284 N458809:N458820 N524345:N524356 N589881:N589892 N655417:N655428 N720953:N720964 N786489:N786500 N852025:N852036 N917561:N917572 N983097:N983108 AD57:AD62 JJ57:JJ68 JJ65593:JJ65604 JJ131129:JJ131140 JJ196665:JJ196676 JJ262201:JJ262212 JJ327737:JJ327748 JJ393273:JJ393284 JJ458809:JJ458820 JJ524345:JJ524356 JJ589881:JJ589892 JJ655417:JJ655428 JJ720953:JJ720964 JJ786489:JJ786500 JJ852025:JJ852036 JJ917561:JJ917572 JJ983097:JJ983108 TF57:TF68 TF65593:TF65604 TF131129:TF131140 TF196665:TF196676 TF262201:TF262212 TF327737:TF327748 TF393273:TF393284 TF458809:TF458820 TF524345:TF524356 TF589881:TF589892 TF655417:TF655428 TF720953:TF720964 TF786489:TF786500 TF852025:TF852036 TF917561:TF917572 TF983097:TF983108 ADB57:ADB68 ADB65593:ADB65604 ADB131129:ADB131140 ADB196665:ADB196676 ADB262201:ADB262212 ADB327737:ADB327748 ADB393273:ADB393284 ADB458809:ADB458820 ADB524345:ADB524356 ADB589881:ADB589892 ADB655417:ADB655428 ADB720953:ADB720964 ADB786489:ADB786500 ADB852025:ADB852036 ADB917561:ADB917572 ADB983097:ADB983108 AMX57:AMX68 AMX65593:AMX65604 AMX131129:AMX131140 AMX196665:AMX196676 AMX262201:AMX262212 AMX327737:AMX327748 AMX393273:AMX393284 AMX458809:AMX458820 AMX524345:AMX524356 AMX589881:AMX589892 AMX655417:AMX655428 AMX720953:AMX720964 AMX786489:AMX786500 AMX852025:AMX852036 AMX917561:AMX917572 AMX983097:AMX983108 AWT57:AWT68 AWT65593:AWT65604 AWT131129:AWT131140 AWT196665:AWT196676 AWT262201:AWT262212 AWT327737:AWT327748 AWT393273:AWT393284 AWT458809:AWT458820 AWT524345:AWT524356 AWT589881:AWT589892 AWT655417:AWT655428 AWT720953:AWT720964 AWT786489:AWT786500 AWT852025:AWT852036 AWT917561:AWT917572 AWT983097:AWT983108 BGP57:BGP68 BGP65593:BGP65604 BGP131129:BGP131140 BGP196665:BGP196676 BGP262201:BGP262212 BGP327737:BGP327748 BGP393273:BGP393284 BGP458809:BGP458820 BGP524345:BGP524356 BGP589881:BGP589892 BGP655417:BGP655428 BGP720953:BGP720964 BGP786489:BGP786500 BGP852025:BGP852036 BGP917561:BGP917572 BGP983097:BGP983108 BQL57:BQL68 BQL65593:BQL65604 BQL131129:BQL131140 BQL196665:BQL196676 BQL262201:BQL262212 BQL327737:BQL327748 BQL393273:BQL393284 BQL458809:BQL458820 BQL524345:BQL524356 BQL589881:BQL589892 BQL655417:BQL655428 BQL720953:BQL720964 BQL786489:BQL786500 BQL852025:BQL852036 BQL917561:BQL917572 BQL983097:BQL983108 CAH57:CAH68 CAH65593:CAH65604 CAH131129:CAH131140 CAH196665:CAH196676 CAH262201:CAH262212 CAH327737:CAH327748 CAH393273:CAH393284 CAH458809:CAH458820 CAH524345:CAH524356 CAH589881:CAH589892 CAH655417:CAH655428 CAH720953:CAH720964 CAH786489:CAH786500 CAH852025:CAH852036 CAH917561:CAH917572 CAH983097:CAH983108 CKD57:CKD68 CKD65593:CKD65604 CKD131129:CKD131140 CKD196665:CKD196676 CKD262201:CKD262212 CKD327737:CKD327748 CKD393273:CKD393284 CKD458809:CKD458820 CKD524345:CKD524356 CKD589881:CKD589892 CKD655417:CKD655428 CKD720953:CKD720964 CKD786489:CKD786500 CKD852025:CKD852036 CKD917561:CKD917572 CKD983097:CKD983108 CTZ57:CTZ68 CTZ65593:CTZ65604 CTZ131129:CTZ131140 CTZ196665:CTZ196676 CTZ262201:CTZ262212 CTZ327737:CTZ327748 CTZ393273:CTZ393284 CTZ458809:CTZ458820 CTZ524345:CTZ524356 CTZ589881:CTZ589892 CTZ655417:CTZ655428 CTZ720953:CTZ720964 CTZ786489:CTZ786500 CTZ852025:CTZ852036 CTZ917561:CTZ917572 CTZ983097:CTZ983108 DDV57:DDV68 DDV65593:DDV65604 DDV131129:DDV131140 DDV196665:DDV196676 DDV262201:DDV262212 DDV327737:DDV327748 DDV393273:DDV393284 DDV458809:DDV458820 DDV524345:DDV524356 DDV589881:DDV589892 DDV655417:DDV655428 DDV720953:DDV720964 DDV786489:DDV786500 DDV852025:DDV852036 DDV917561:DDV917572 DDV983097:DDV983108 DNR57:DNR68 DNR65593:DNR65604 DNR131129:DNR131140 DNR196665:DNR196676 DNR262201:DNR262212 DNR327737:DNR327748 DNR393273:DNR393284 DNR458809:DNR458820 DNR524345:DNR524356 DNR589881:DNR589892 DNR655417:DNR655428 DNR720953:DNR720964 DNR786489:DNR786500 DNR852025:DNR852036 DNR917561:DNR917572 DNR983097:DNR983108 DXN57:DXN68 DXN65593:DXN65604 DXN131129:DXN131140 DXN196665:DXN196676 DXN262201:DXN262212 DXN327737:DXN327748 DXN393273:DXN393284 DXN458809:DXN458820 DXN524345:DXN524356 DXN589881:DXN589892 DXN655417:DXN655428 DXN720953:DXN720964 DXN786489:DXN786500 DXN852025:DXN852036 DXN917561:DXN917572 DXN983097:DXN983108 EHJ57:EHJ68 EHJ65593:EHJ65604 EHJ131129:EHJ131140 EHJ196665:EHJ196676 EHJ262201:EHJ262212 EHJ327737:EHJ327748 EHJ393273:EHJ393284 EHJ458809:EHJ458820 EHJ524345:EHJ524356 EHJ589881:EHJ589892 EHJ655417:EHJ655428 EHJ720953:EHJ720964 EHJ786489:EHJ786500 EHJ852025:EHJ852036 EHJ917561:EHJ917572 EHJ983097:EHJ983108 ERF57:ERF68 ERF65593:ERF65604 ERF131129:ERF131140 ERF196665:ERF196676 ERF262201:ERF262212 ERF327737:ERF327748 ERF393273:ERF393284 ERF458809:ERF458820 ERF524345:ERF524356 ERF589881:ERF589892 ERF655417:ERF655428 ERF720953:ERF720964 ERF786489:ERF786500 ERF852025:ERF852036 ERF917561:ERF917572 ERF983097:ERF983108 FBB57:FBB68 FBB65593:FBB65604 FBB131129:FBB131140 FBB196665:FBB196676 FBB262201:FBB262212 FBB327737:FBB327748 FBB393273:FBB393284 FBB458809:FBB458820 FBB524345:FBB524356 FBB589881:FBB589892 FBB655417:FBB655428 FBB720953:FBB720964 FBB786489:FBB786500 FBB852025:FBB852036 FBB917561:FBB917572 FBB983097:FBB983108 FKX57:FKX68 FKX65593:FKX65604 FKX131129:FKX131140 FKX196665:FKX196676 FKX262201:FKX262212 FKX327737:FKX327748 FKX393273:FKX393284 FKX458809:FKX458820 FKX524345:FKX524356 FKX589881:FKX589892 FKX655417:FKX655428 FKX720953:FKX720964 FKX786489:FKX786500 FKX852025:FKX852036 FKX917561:FKX917572 FKX983097:FKX983108 FUT57:FUT68 FUT65593:FUT65604 FUT131129:FUT131140 FUT196665:FUT196676 FUT262201:FUT262212 FUT327737:FUT327748 FUT393273:FUT393284 FUT458809:FUT458820 FUT524345:FUT524356 FUT589881:FUT589892 FUT655417:FUT655428 FUT720953:FUT720964 FUT786489:FUT786500 FUT852025:FUT852036 FUT917561:FUT917572 FUT983097:FUT983108 GEP57:GEP68 GEP65593:GEP65604 GEP131129:GEP131140 GEP196665:GEP196676 GEP262201:GEP262212 GEP327737:GEP327748 GEP393273:GEP393284 GEP458809:GEP458820 GEP524345:GEP524356 GEP589881:GEP589892 GEP655417:GEP655428 GEP720953:GEP720964 GEP786489:GEP786500 GEP852025:GEP852036 GEP917561:GEP917572 GEP983097:GEP983108 GOL57:GOL68 GOL65593:GOL65604 GOL131129:GOL131140 GOL196665:GOL196676 GOL262201:GOL262212 GOL327737:GOL327748 GOL393273:GOL393284 GOL458809:GOL458820 GOL524345:GOL524356 GOL589881:GOL589892 GOL655417:GOL655428 GOL720953:GOL720964 GOL786489:GOL786500 GOL852025:GOL852036 GOL917561:GOL917572 GOL983097:GOL983108 GYH57:GYH68 GYH65593:GYH65604 GYH131129:GYH131140 GYH196665:GYH196676 GYH262201:GYH262212 GYH327737:GYH327748 GYH393273:GYH393284 GYH458809:GYH458820 GYH524345:GYH524356 GYH589881:GYH589892 GYH655417:GYH655428 GYH720953:GYH720964 GYH786489:GYH786500 GYH852025:GYH852036 GYH917561:GYH917572 GYH983097:GYH983108 HID57:HID68 HID65593:HID65604 HID131129:HID131140 HID196665:HID196676 HID262201:HID262212 HID327737:HID327748 HID393273:HID393284 HID458809:HID458820 HID524345:HID524356 HID589881:HID589892 HID655417:HID655428 HID720953:HID720964 HID786489:HID786500 HID852025:HID852036 HID917561:HID917572 HID983097:HID983108 HRZ57:HRZ68 HRZ65593:HRZ65604 HRZ131129:HRZ131140 HRZ196665:HRZ196676 HRZ262201:HRZ262212 HRZ327737:HRZ327748 HRZ393273:HRZ393284 HRZ458809:HRZ458820 HRZ524345:HRZ524356 HRZ589881:HRZ589892 HRZ655417:HRZ655428 HRZ720953:HRZ720964 HRZ786489:HRZ786500 HRZ852025:HRZ852036 HRZ917561:HRZ917572 HRZ983097:HRZ983108 IBV57:IBV68 IBV65593:IBV65604 IBV131129:IBV131140 IBV196665:IBV196676 IBV262201:IBV262212 IBV327737:IBV327748 IBV393273:IBV393284 IBV458809:IBV458820 IBV524345:IBV524356 IBV589881:IBV589892 IBV655417:IBV655428 IBV720953:IBV720964 IBV786489:IBV786500 IBV852025:IBV852036 IBV917561:IBV917572 IBV983097:IBV983108 ILR57:ILR68 ILR65593:ILR65604 ILR131129:ILR131140 ILR196665:ILR196676 ILR262201:ILR262212 ILR327737:ILR327748 ILR393273:ILR393284 ILR458809:ILR458820 ILR524345:ILR524356 ILR589881:ILR589892 ILR655417:ILR655428 ILR720953:ILR720964 ILR786489:ILR786500 ILR852025:ILR852036 ILR917561:ILR917572 ILR983097:ILR983108 IVN57:IVN68 IVN65593:IVN65604 IVN131129:IVN131140 IVN196665:IVN196676 IVN262201:IVN262212 IVN327737:IVN327748 IVN393273:IVN393284 IVN458809:IVN458820 IVN524345:IVN524356 IVN589881:IVN589892 IVN655417:IVN655428 IVN720953:IVN720964 IVN786489:IVN786500 IVN852025:IVN852036 IVN917561:IVN917572 IVN983097:IVN983108 JFJ57:JFJ68 JFJ65593:JFJ65604 JFJ131129:JFJ131140 JFJ196665:JFJ196676 JFJ262201:JFJ262212 JFJ327737:JFJ327748 JFJ393273:JFJ393284 JFJ458809:JFJ458820 JFJ524345:JFJ524356 JFJ589881:JFJ589892 JFJ655417:JFJ655428 JFJ720953:JFJ720964 JFJ786489:JFJ786500 JFJ852025:JFJ852036 JFJ917561:JFJ917572 JFJ983097:JFJ983108 JPF57:JPF68 JPF65593:JPF65604 JPF131129:JPF131140 JPF196665:JPF196676 JPF262201:JPF262212 JPF327737:JPF327748 JPF393273:JPF393284 JPF458809:JPF458820 JPF524345:JPF524356 JPF589881:JPF589892 JPF655417:JPF655428 JPF720953:JPF720964 JPF786489:JPF786500 JPF852025:JPF852036 JPF917561:JPF917572 JPF983097:JPF983108 JZB57:JZB68 JZB65593:JZB65604 JZB131129:JZB131140 JZB196665:JZB196676 JZB262201:JZB262212 JZB327737:JZB327748 JZB393273:JZB393284 JZB458809:JZB458820 JZB524345:JZB524356 JZB589881:JZB589892 JZB655417:JZB655428 JZB720953:JZB720964 JZB786489:JZB786500 JZB852025:JZB852036 JZB917561:JZB917572 JZB983097:JZB983108 KIX57:KIX68 KIX65593:KIX65604 KIX131129:KIX131140 KIX196665:KIX196676 KIX262201:KIX262212 KIX327737:KIX327748 KIX393273:KIX393284 KIX458809:KIX458820 KIX524345:KIX524356 KIX589881:KIX589892 KIX655417:KIX655428 KIX720953:KIX720964 KIX786489:KIX786500 KIX852025:KIX852036 KIX917561:KIX917572 KIX983097:KIX983108 KST57:KST68 KST65593:KST65604 KST131129:KST131140 KST196665:KST196676 KST262201:KST262212 KST327737:KST327748 KST393273:KST393284 KST458809:KST458820 KST524345:KST524356 KST589881:KST589892 KST655417:KST655428 KST720953:KST720964 KST786489:KST786500 KST852025:KST852036 KST917561:KST917572 KST983097:KST983108 LCP57:LCP68 LCP65593:LCP65604 LCP131129:LCP131140 LCP196665:LCP196676 LCP262201:LCP262212 LCP327737:LCP327748 LCP393273:LCP393284 LCP458809:LCP458820 LCP524345:LCP524356 LCP589881:LCP589892 LCP655417:LCP655428 LCP720953:LCP720964 LCP786489:LCP786500 LCP852025:LCP852036 LCP917561:LCP917572 LCP983097:LCP983108 LML57:LML68 LML65593:LML65604 LML131129:LML131140 LML196665:LML196676 LML262201:LML262212 LML327737:LML327748 LML393273:LML393284 LML458809:LML458820 LML524345:LML524356 LML589881:LML589892 LML655417:LML655428 LML720953:LML720964 LML786489:LML786500 LML852025:LML852036 LML917561:LML917572 LML983097:LML983108 LWH57:LWH68 LWH65593:LWH65604 LWH131129:LWH131140 LWH196665:LWH196676 LWH262201:LWH262212 LWH327737:LWH327748 LWH393273:LWH393284 LWH458809:LWH458820 LWH524345:LWH524356 LWH589881:LWH589892 LWH655417:LWH655428 LWH720953:LWH720964 LWH786489:LWH786500 LWH852025:LWH852036 LWH917561:LWH917572 LWH983097:LWH983108 MGD57:MGD68 MGD65593:MGD65604 MGD131129:MGD131140 MGD196665:MGD196676 MGD262201:MGD262212 MGD327737:MGD327748 MGD393273:MGD393284 MGD458809:MGD458820 MGD524345:MGD524356 MGD589881:MGD589892 MGD655417:MGD655428 MGD720953:MGD720964 MGD786489:MGD786500 MGD852025:MGD852036 MGD917561:MGD917572 MGD983097:MGD983108 MPZ57:MPZ68 MPZ65593:MPZ65604 MPZ131129:MPZ131140 MPZ196665:MPZ196676 MPZ262201:MPZ262212 MPZ327737:MPZ327748 MPZ393273:MPZ393284 MPZ458809:MPZ458820 MPZ524345:MPZ524356 MPZ589881:MPZ589892 MPZ655417:MPZ655428 MPZ720953:MPZ720964 MPZ786489:MPZ786500 MPZ852025:MPZ852036 MPZ917561:MPZ917572 MPZ983097:MPZ983108 MZV57:MZV68 MZV65593:MZV65604 MZV131129:MZV131140 MZV196665:MZV196676 MZV262201:MZV262212 MZV327737:MZV327748 MZV393273:MZV393284 MZV458809:MZV458820 MZV524345:MZV524356 MZV589881:MZV589892 MZV655417:MZV655428 MZV720953:MZV720964 MZV786489:MZV786500 MZV852025:MZV852036 MZV917561:MZV917572 MZV983097:MZV983108 NJR57:NJR68 NJR65593:NJR65604 NJR131129:NJR131140 NJR196665:NJR196676 NJR262201:NJR262212 NJR327737:NJR327748 NJR393273:NJR393284 NJR458809:NJR458820 NJR524345:NJR524356 NJR589881:NJR589892 NJR655417:NJR655428 NJR720953:NJR720964 NJR786489:NJR786500 NJR852025:NJR852036 NJR917561:NJR917572 NJR983097:NJR983108 NTN57:NTN68 NTN65593:NTN65604 NTN131129:NTN131140 NTN196665:NTN196676 NTN262201:NTN262212 NTN327737:NTN327748 NTN393273:NTN393284 NTN458809:NTN458820 NTN524345:NTN524356 NTN589881:NTN589892 NTN655417:NTN655428 NTN720953:NTN720964 NTN786489:NTN786500 NTN852025:NTN852036 NTN917561:NTN917572 NTN983097:NTN983108 ODJ57:ODJ68 ODJ65593:ODJ65604 ODJ131129:ODJ131140 ODJ196665:ODJ196676 ODJ262201:ODJ262212 ODJ327737:ODJ327748 ODJ393273:ODJ393284 ODJ458809:ODJ458820 ODJ524345:ODJ524356 ODJ589881:ODJ589892 ODJ655417:ODJ655428 ODJ720953:ODJ720964 ODJ786489:ODJ786500 ODJ852025:ODJ852036 ODJ917561:ODJ917572 ODJ983097:ODJ983108 ONF57:ONF68 ONF65593:ONF65604 ONF131129:ONF131140 ONF196665:ONF196676 ONF262201:ONF262212 ONF327737:ONF327748 ONF393273:ONF393284 ONF458809:ONF458820 ONF524345:ONF524356 ONF589881:ONF589892 ONF655417:ONF655428 ONF720953:ONF720964 ONF786489:ONF786500 ONF852025:ONF852036 ONF917561:ONF917572 ONF983097:ONF983108 OXB57:OXB68 OXB65593:OXB65604 OXB131129:OXB131140 OXB196665:OXB196676 OXB262201:OXB262212 OXB327737:OXB327748 OXB393273:OXB393284 OXB458809:OXB458820 OXB524345:OXB524356 OXB589881:OXB589892 OXB655417:OXB655428 OXB720953:OXB720964 OXB786489:OXB786500 OXB852025:OXB852036 OXB917561:OXB917572 OXB983097:OXB983108 PGX57:PGX68 PGX65593:PGX65604 PGX131129:PGX131140 PGX196665:PGX196676 PGX262201:PGX262212 PGX327737:PGX327748 PGX393273:PGX393284 PGX458809:PGX458820 PGX524345:PGX524356 PGX589881:PGX589892 PGX655417:PGX655428 PGX720953:PGX720964 PGX786489:PGX786500 PGX852025:PGX852036 PGX917561:PGX917572 PGX983097:PGX983108 PQT57:PQT68 PQT65593:PQT65604 PQT131129:PQT131140 PQT196665:PQT196676 PQT262201:PQT262212 PQT327737:PQT327748 PQT393273:PQT393284 PQT458809:PQT458820 PQT524345:PQT524356 PQT589881:PQT589892 PQT655417:PQT655428 PQT720953:PQT720964 PQT786489:PQT786500 PQT852025:PQT852036 PQT917561:PQT917572 PQT983097:PQT983108 QAP57:QAP68 QAP65593:QAP65604 QAP131129:QAP131140 QAP196665:QAP196676 QAP262201:QAP262212 QAP327737:QAP327748 QAP393273:QAP393284 QAP458809:QAP458820 QAP524345:QAP524356 QAP589881:QAP589892 QAP655417:QAP655428 QAP720953:QAP720964 QAP786489:QAP786500 QAP852025:QAP852036 QAP917561:QAP917572 QAP983097:QAP983108 QKL57:QKL68 QKL65593:QKL65604 QKL131129:QKL131140 QKL196665:QKL196676 QKL262201:QKL262212 QKL327737:QKL327748 QKL393273:QKL393284 QKL458809:QKL458820 QKL524345:QKL524356 QKL589881:QKL589892 QKL655417:QKL655428 QKL720953:QKL720964 QKL786489:QKL786500 QKL852025:QKL852036 QKL917561:QKL917572 QKL983097:QKL983108 QUH57:QUH68 QUH65593:QUH65604 QUH131129:QUH131140 QUH196665:QUH196676 QUH262201:QUH262212 QUH327737:QUH327748 QUH393273:QUH393284 QUH458809:QUH458820 QUH524345:QUH524356 QUH589881:QUH589892 QUH655417:QUH655428 QUH720953:QUH720964 QUH786489:QUH786500 QUH852025:QUH852036 QUH917561:QUH917572 QUH983097:QUH983108 RED57:RED68 RED65593:RED65604 RED131129:RED131140 RED196665:RED196676 RED262201:RED262212 RED327737:RED327748 RED393273:RED393284 RED458809:RED458820 RED524345:RED524356 RED589881:RED589892 RED655417:RED655428 RED720953:RED720964 RED786489:RED786500 RED852025:RED852036 RED917561:RED917572 RED983097:RED983108 RNZ57:RNZ68 RNZ65593:RNZ65604 RNZ131129:RNZ131140 RNZ196665:RNZ196676 RNZ262201:RNZ262212 RNZ327737:RNZ327748 RNZ393273:RNZ393284 RNZ458809:RNZ458820 RNZ524345:RNZ524356 RNZ589881:RNZ589892 RNZ655417:RNZ655428 RNZ720953:RNZ720964 RNZ786489:RNZ786500 RNZ852025:RNZ852036 RNZ917561:RNZ917572 RNZ983097:RNZ983108 RXV57:RXV68 RXV65593:RXV65604 RXV131129:RXV131140 RXV196665:RXV196676 RXV262201:RXV262212 RXV327737:RXV327748 RXV393273:RXV393284 RXV458809:RXV458820 RXV524345:RXV524356 RXV589881:RXV589892 RXV655417:RXV655428 RXV720953:RXV720964 RXV786489:RXV786500 RXV852025:RXV852036 RXV917561:RXV917572 RXV983097:RXV983108 SHR57:SHR68 SHR65593:SHR65604 SHR131129:SHR131140 SHR196665:SHR196676 SHR262201:SHR262212 SHR327737:SHR327748 SHR393273:SHR393284 SHR458809:SHR458820 SHR524345:SHR524356 SHR589881:SHR589892 SHR655417:SHR655428 SHR720953:SHR720964 SHR786489:SHR786500 SHR852025:SHR852036 SHR917561:SHR917572 SHR983097:SHR983108 SRN57:SRN68 SRN65593:SRN65604 SRN131129:SRN131140 SRN196665:SRN196676 SRN262201:SRN262212 SRN327737:SRN327748 SRN393273:SRN393284 SRN458809:SRN458820 SRN524345:SRN524356 SRN589881:SRN589892 SRN655417:SRN655428 SRN720953:SRN720964 SRN786489:SRN786500 SRN852025:SRN852036 SRN917561:SRN917572 SRN983097:SRN983108 TBJ57:TBJ68 TBJ65593:TBJ65604 TBJ131129:TBJ131140 TBJ196665:TBJ196676 TBJ262201:TBJ262212 TBJ327737:TBJ327748 TBJ393273:TBJ393284 TBJ458809:TBJ458820 TBJ524345:TBJ524356 TBJ589881:TBJ589892 TBJ655417:TBJ655428 TBJ720953:TBJ720964 TBJ786489:TBJ786500 TBJ852025:TBJ852036 TBJ917561:TBJ917572 TBJ983097:TBJ983108 TLF57:TLF68 TLF65593:TLF65604 TLF131129:TLF131140 TLF196665:TLF196676 TLF262201:TLF262212 TLF327737:TLF327748 TLF393273:TLF393284 TLF458809:TLF458820 TLF524345:TLF524356 TLF589881:TLF589892 TLF655417:TLF655428 TLF720953:TLF720964 TLF786489:TLF786500 TLF852025:TLF852036 TLF917561:TLF917572 TLF983097:TLF983108 TVB57:TVB68 TVB65593:TVB65604 TVB131129:TVB131140 TVB196665:TVB196676 TVB262201:TVB262212 TVB327737:TVB327748 TVB393273:TVB393284 TVB458809:TVB458820 TVB524345:TVB524356 TVB589881:TVB589892 TVB655417:TVB655428 TVB720953:TVB720964 TVB786489:TVB786500 TVB852025:TVB852036 TVB917561:TVB917572 TVB983097:TVB983108 UEX57:UEX68 UEX65593:UEX65604 UEX131129:UEX131140 UEX196665:UEX196676 UEX262201:UEX262212 UEX327737:UEX327748 UEX393273:UEX393284 UEX458809:UEX458820 UEX524345:UEX524356 UEX589881:UEX589892 UEX655417:UEX655428 UEX720953:UEX720964 UEX786489:UEX786500 UEX852025:UEX852036 UEX917561:UEX917572 UEX983097:UEX983108 UOT57:UOT68 UOT65593:UOT65604 UOT131129:UOT131140 UOT196665:UOT196676 UOT262201:UOT262212 UOT327737:UOT327748 UOT393273:UOT393284 UOT458809:UOT458820 UOT524345:UOT524356 UOT589881:UOT589892 UOT655417:UOT655428 UOT720953:UOT720964 UOT786489:UOT786500 UOT852025:UOT852036 UOT917561:UOT917572 UOT983097:UOT983108 UYP57:UYP68 UYP65593:UYP65604 UYP131129:UYP131140 UYP196665:UYP196676 UYP262201:UYP262212 UYP327737:UYP327748 UYP393273:UYP393284 UYP458809:UYP458820 UYP524345:UYP524356 UYP589881:UYP589892 UYP655417:UYP655428 UYP720953:UYP720964 UYP786489:UYP786500 UYP852025:UYP852036 UYP917561:UYP917572 UYP983097:UYP983108 VIL57:VIL68 VIL65593:VIL65604 VIL131129:VIL131140 VIL196665:VIL196676 VIL262201:VIL262212 VIL327737:VIL327748 VIL393273:VIL393284 VIL458809:VIL458820 VIL524345:VIL524356 VIL589881:VIL589892 VIL655417:VIL655428 VIL720953:VIL720964 VIL786489:VIL786500 VIL852025:VIL852036 VIL917561:VIL917572 VIL983097:VIL983108 VSH57:VSH68 VSH65593:VSH65604 VSH131129:VSH131140 VSH196665:VSH196676 VSH262201:VSH262212 VSH327737:VSH327748 VSH393273:VSH393284 VSH458809:VSH458820 VSH524345:VSH524356 VSH589881:VSH589892 VSH655417:VSH655428 VSH720953:VSH720964 VSH786489:VSH786500 VSH852025:VSH852036 VSH917561:VSH917572 VSH983097:VSH983108 WCD57:WCD68 WCD65593:WCD65604 WCD131129:WCD131140 WCD196665:WCD196676 WCD262201:WCD262212 WCD327737:WCD327748 WCD393273:WCD393284 WCD458809:WCD458820 WCD524345:WCD524356 WCD589881:WCD589892 WCD655417:WCD655428 WCD720953:WCD720964 WCD786489:WCD786500 WCD852025:WCD852036 WCD917561:WCD917572 WCD983097:WCD983108 WLZ57:WLZ68 WLZ65593:WLZ65604 WLZ131129:WLZ131140 WLZ196665:WLZ196676 WLZ262201:WLZ262212 WLZ327737:WLZ327748 WLZ393273:WLZ393284 WLZ458809:WLZ458820 WLZ524345:WLZ524356 WLZ589881:WLZ589892 WLZ655417:WLZ655428 WLZ720953:WLZ720964 WLZ786489:WLZ786500 WLZ852025:WLZ852036 WLZ917561:WLZ917572 WLZ983097:WLZ983108 WVV57:WVV68 WVV65593:WVV65604 WVV131129:WVV131140 WVV196665:WVV196676 WVV262201:WVV262212 WVV327737:WVV327748 WVV393273:WVV393284 WVV458809:WVV458820 WVV524345:WVV524356 WVV589881:WVV589892 WVV655417:WVV655428 WVV720953:WVV720964 WVV786489:WVV786500 WVV852025:WVV852036 WVV917561:WVV917572 WVV983097:WVV983108" xr:uid="{00000000-0002-0000-1300-000001000000}">
      <formula1>"　,○"</formula1>
    </dataValidation>
    <dataValidation allowBlank="1" showInputMessage="1" sqref="P11:AE14 P65545:AE65548 P131081:AE131084 P196617:AE196620 P262153:AE262156 P327689:AE327692 P393225:AE393228 P458761:AE458764 P524297:AE524300 P589833:AE589836 P655369:AE655372 P720905:AE720908 P786441:AE786444 P851977:AE851980 P917513:AE917516 P983049:AE983052 JL11:KA14 JL65545:KA65548 JL131081:KA131084 JL196617:KA196620 JL262153:KA262156 JL327689:KA327692 JL393225:KA393228 JL458761:KA458764 JL524297:KA524300 JL589833:KA589836 JL655369:KA655372 JL720905:KA720908 JL786441:KA786444 JL851977:KA851980 JL917513:KA917516 JL983049:KA983052 TH11:TW14 TH65545:TW65548 TH131081:TW131084 TH196617:TW196620 TH262153:TW262156 TH327689:TW327692 TH393225:TW393228 TH458761:TW458764 TH524297:TW524300 TH589833:TW589836 TH655369:TW655372 TH720905:TW720908 TH786441:TW786444 TH851977:TW851980 TH917513:TW917516 TH983049:TW983052 ADD11:ADS14 ADD65545:ADS65548 ADD131081:ADS131084 ADD196617:ADS196620 ADD262153:ADS262156 ADD327689:ADS327692 ADD393225:ADS393228 ADD458761:ADS458764 ADD524297:ADS524300 ADD589833:ADS589836 ADD655369:ADS655372 ADD720905:ADS720908 ADD786441:ADS786444 ADD851977:ADS851980 ADD917513:ADS917516 ADD983049:ADS983052 AMZ11:ANO14 AMZ65545:ANO65548 AMZ131081:ANO131084 AMZ196617:ANO196620 AMZ262153:ANO262156 AMZ327689:ANO327692 AMZ393225:ANO393228 AMZ458761:ANO458764 AMZ524297:ANO524300 AMZ589833:ANO589836 AMZ655369:ANO655372 AMZ720905:ANO720908 AMZ786441:ANO786444 AMZ851977:ANO851980 AMZ917513:ANO917516 AMZ983049:ANO983052 AWV11:AXK14 AWV65545:AXK65548 AWV131081:AXK131084 AWV196617:AXK196620 AWV262153:AXK262156 AWV327689:AXK327692 AWV393225:AXK393228 AWV458761:AXK458764 AWV524297:AXK524300 AWV589833:AXK589836 AWV655369:AXK655372 AWV720905:AXK720908 AWV786441:AXK786444 AWV851977:AXK851980 AWV917513:AXK917516 AWV983049:AXK983052 BGR11:BHG14 BGR65545:BHG65548 BGR131081:BHG131084 BGR196617:BHG196620 BGR262153:BHG262156 BGR327689:BHG327692 BGR393225:BHG393228 BGR458761:BHG458764 BGR524297:BHG524300 BGR589833:BHG589836 BGR655369:BHG655372 BGR720905:BHG720908 BGR786441:BHG786444 BGR851977:BHG851980 BGR917513:BHG917516 BGR983049:BHG983052 BQN11:BRC14 BQN65545:BRC65548 BQN131081:BRC131084 BQN196617:BRC196620 BQN262153:BRC262156 BQN327689:BRC327692 BQN393225:BRC393228 BQN458761:BRC458764 BQN524297:BRC524300 BQN589833:BRC589836 BQN655369:BRC655372 BQN720905:BRC720908 BQN786441:BRC786444 BQN851977:BRC851980 BQN917513:BRC917516 BQN983049:BRC983052 CAJ11:CAY14 CAJ65545:CAY65548 CAJ131081:CAY131084 CAJ196617:CAY196620 CAJ262153:CAY262156 CAJ327689:CAY327692 CAJ393225:CAY393228 CAJ458761:CAY458764 CAJ524297:CAY524300 CAJ589833:CAY589836 CAJ655369:CAY655372 CAJ720905:CAY720908 CAJ786441:CAY786444 CAJ851977:CAY851980 CAJ917513:CAY917516 CAJ983049:CAY983052 CKF11:CKU14 CKF65545:CKU65548 CKF131081:CKU131084 CKF196617:CKU196620 CKF262153:CKU262156 CKF327689:CKU327692 CKF393225:CKU393228 CKF458761:CKU458764 CKF524297:CKU524300 CKF589833:CKU589836 CKF655369:CKU655372 CKF720905:CKU720908 CKF786441:CKU786444 CKF851977:CKU851980 CKF917513:CKU917516 CKF983049:CKU983052 CUB11:CUQ14 CUB65545:CUQ65548 CUB131081:CUQ131084 CUB196617:CUQ196620 CUB262153:CUQ262156 CUB327689:CUQ327692 CUB393225:CUQ393228 CUB458761:CUQ458764 CUB524297:CUQ524300 CUB589833:CUQ589836 CUB655369:CUQ655372 CUB720905:CUQ720908 CUB786441:CUQ786444 CUB851977:CUQ851980 CUB917513:CUQ917516 CUB983049:CUQ983052 DDX11:DEM14 DDX65545:DEM65548 DDX131081:DEM131084 DDX196617:DEM196620 DDX262153:DEM262156 DDX327689:DEM327692 DDX393225:DEM393228 DDX458761:DEM458764 DDX524297:DEM524300 DDX589833:DEM589836 DDX655369:DEM655372 DDX720905:DEM720908 DDX786441:DEM786444 DDX851977:DEM851980 DDX917513:DEM917516 DDX983049:DEM983052 DNT11:DOI14 DNT65545:DOI65548 DNT131081:DOI131084 DNT196617:DOI196620 DNT262153:DOI262156 DNT327689:DOI327692 DNT393225:DOI393228 DNT458761:DOI458764 DNT524297:DOI524300 DNT589833:DOI589836 DNT655369:DOI655372 DNT720905:DOI720908 DNT786441:DOI786444 DNT851977:DOI851980 DNT917513:DOI917516 DNT983049:DOI983052 DXP11:DYE14 DXP65545:DYE65548 DXP131081:DYE131084 DXP196617:DYE196620 DXP262153:DYE262156 DXP327689:DYE327692 DXP393225:DYE393228 DXP458761:DYE458764 DXP524297:DYE524300 DXP589833:DYE589836 DXP655369:DYE655372 DXP720905:DYE720908 DXP786441:DYE786444 DXP851977:DYE851980 DXP917513:DYE917516 DXP983049:DYE983052 EHL11:EIA14 EHL65545:EIA65548 EHL131081:EIA131084 EHL196617:EIA196620 EHL262153:EIA262156 EHL327689:EIA327692 EHL393225:EIA393228 EHL458761:EIA458764 EHL524297:EIA524300 EHL589833:EIA589836 EHL655369:EIA655372 EHL720905:EIA720908 EHL786441:EIA786444 EHL851977:EIA851980 EHL917513:EIA917516 EHL983049:EIA983052 ERH11:ERW14 ERH65545:ERW65548 ERH131081:ERW131084 ERH196617:ERW196620 ERH262153:ERW262156 ERH327689:ERW327692 ERH393225:ERW393228 ERH458761:ERW458764 ERH524297:ERW524300 ERH589833:ERW589836 ERH655369:ERW655372 ERH720905:ERW720908 ERH786441:ERW786444 ERH851977:ERW851980 ERH917513:ERW917516 ERH983049:ERW983052 FBD11:FBS14 FBD65545:FBS65548 FBD131081:FBS131084 FBD196617:FBS196620 FBD262153:FBS262156 FBD327689:FBS327692 FBD393225:FBS393228 FBD458761:FBS458764 FBD524297:FBS524300 FBD589833:FBS589836 FBD655369:FBS655372 FBD720905:FBS720908 FBD786441:FBS786444 FBD851977:FBS851980 FBD917513:FBS917516 FBD983049:FBS983052 FKZ11:FLO14 FKZ65545:FLO65548 FKZ131081:FLO131084 FKZ196617:FLO196620 FKZ262153:FLO262156 FKZ327689:FLO327692 FKZ393225:FLO393228 FKZ458761:FLO458764 FKZ524297:FLO524300 FKZ589833:FLO589836 FKZ655369:FLO655372 FKZ720905:FLO720908 FKZ786441:FLO786444 FKZ851977:FLO851980 FKZ917513:FLO917516 FKZ983049:FLO983052 FUV11:FVK14 FUV65545:FVK65548 FUV131081:FVK131084 FUV196617:FVK196620 FUV262153:FVK262156 FUV327689:FVK327692 FUV393225:FVK393228 FUV458761:FVK458764 FUV524297:FVK524300 FUV589833:FVK589836 FUV655369:FVK655372 FUV720905:FVK720908 FUV786441:FVK786444 FUV851977:FVK851980 FUV917513:FVK917516 FUV983049:FVK983052 GER11:GFG14 GER65545:GFG65548 GER131081:GFG131084 GER196617:GFG196620 GER262153:GFG262156 GER327689:GFG327692 GER393225:GFG393228 GER458761:GFG458764 GER524297:GFG524300 GER589833:GFG589836 GER655369:GFG655372 GER720905:GFG720908 GER786441:GFG786444 GER851977:GFG851980 GER917513:GFG917516 GER983049:GFG983052 GON11:GPC14 GON65545:GPC65548 GON131081:GPC131084 GON196617:GPC196620 GON262153:GPC262156 GON327689:GPC327692 GON393225:GPC393228 GON458761:GPC458764 GON524297:GPC524300 GON589833:GPC589836 GON655369:GPC655372 GON720905:GPC720908 GON786441:GPC786444 GON851977:GPC851980 GON917513:GPC917516 GON983049:GPC983052 GYJ11:GYY14 GYJ65545:GYY65548 GYJ131081:GYY131084 GYJ196617:GYY196620 GYJ262153:GYY262156 GYJ327689:GYY327692 GYJ393225:GYY393228 GYJ458761:GYY458764 GYJ524297:GYY524300 GYJ589833:GYY589836 GYJ655369:GYY655372 GYJ720905:GYY720908 GYJ786441:GYY786444 GYJ851977:GYY851980 GYJ917513:GYY917516 GYJ983049:GYY983052 HIF11:HIU14 HIF65545:HIU65548 HIF131081:HIU131084 HIF196617:HIU196620 HIF262153:HIU262156 HIF327689:HIU327692 HIF393225:HIU393228 HIF458761:HIU458764 HIF524297:HIU524300 HIF589833:HIU589836 HIF655369:HIU655372 HIF720905:HIU720908 HIF786441:HIU786444 HIF851977:HIU851980 HIF917513:HIU917516 HIF983049:HIU983052 HSB11:HSQ14 HSB65545:HSQ65548 HSB131081:HSQ131084 HSB196617:HSQ196620 HSB262153:HSQ262156 HSB327689:HSQ327692 HSB393225:HSQ393228 HSB458761:HSQ458764 HSB524297:HSQ524300 HSB589833:HSQ589836 HSB655369:HSQ655372 HSB720905:HSQ720908 HSB786441:HSQ786444 HSB851977:HSQ851980 HSB917513:HSQ917516 HSB983049:HSQ983052 IBX11:ICM14 IBX65545:ICM65548 IBX131081:ICM131084 IBX196617:ICM196620 IBX262153:ICM262156 IBX327689:ICM327692 IBX393225:ICM393228 IBX458761:ICM458764 IBX524297:ICM524300 IBX589833:ICM589836 IBX655369:ICM655372 IBX720905:ICM720908 IBX786441:ICM786444 IBX851977:ICM851980 IBX917513:ICM917516 IBX983049:ICM983052 ILT11:IMI14 ILT65545:IMI65548 ILT131081:IMI131084 ILT196617:IMI196620 ILT262153:IMI262156 ILT327689:IMI327692 ILT393225:IMI393228 ILT458761:IMI458764 ILT524297:IMI524300 ILT589833:IMI589836 ILT655369:IMI655372 ILT720905:IMI720908 ILT786441:IMI786444 ILT851977:IMI851980 ILT917513:IMI917516 ILT983049:IMI983052 IVP11:IWE14 IVP65545:IWE65548 IVP131081:IWE131084 IVP196617:IWE196620 IVP262153:IWE262156 IVP327689:IWE327692 IVP393225:IWE393228 IVP458761:IWE458764 IVP524297:IWE524300 IVP589833:IWE589836 IVP655369:IWE655372 IVP720905:IWE720908 IVP786441:IWE786444 IVP851977:IWE851980 IVP917513:IWE917516 IVP983049:IWE983052 JFL11:JGA14 JFL65545:JGA65548 JFL131081:JGA131084 JFL196617:JGA196620 JFL262153:JGA262156 JFL327689:JGA327692 JFL393225:JGA393228 JFL458761:JGA458764 JFL524297:JGA524300 JFL589833:JGA589836 JFL655369:JGA655372 JFL720905:JGA720908 JFL786441:JGA786444 JFL851977:JGA851980 JFL917513:JGA917516 JFL983049:JGA983052 JPH11:JPW14 JPH65545:JPW65548 JPH131081:JPW131084 JPH196617:JPW196620 JPH262153:JPW262156 JPH327689:JPW327692 JPH393225:JPW393228 JPH458761:JPW458764 JPH524297:JPW524300 JPH589833:JPW589836 JPH655369:JPW655372 JPH720905:JPW720908 JPH786441:JPW786444 JPH851977:JPW851980 JPH917513:JPW917516 JPH983049:JPW983052 JZD11:JZS14 JZD65545:JZS65548 JZD131081:JZS131084 JZD196617:JZS196620 JZD262153:JZS262156 JZD327689:JZS327692 JZD393225:JZS393228 JZD458761:JZS458764 JZD524297:JZS524300 JZD589833:JZS589836 JZD655369:JZS655372 JZD720905:JZS720908 JZD786441:JZS786444 JZD851977:JZS851980 JZD917513:JZS917516 JZD983049:JZS983052 KIZ11:KJO14 KIZ65545:KJO65548 KIZ131081:KJO131084 KIZ196617:KJO196620 KIZ262153:KJO262156 KIZ327689:KJO327692 KIZ393225:KJO393228 KIZ458761:KJO458764 KIZ524297:KJO524300 KIZ589833:KJO589836 KIZ655369:KJO655372 KIZ720905:KJO720908 KIZ786441:KJO786444 KIZ851977:KJO851980 KIZ917513:KJO917516 KIZ983049:KJO983052 KSV11:KTK14 KSV65545:KTK65548 KSV131081:KTK131084 KSV196617:KTK196620 KSV262153:KTK262156 KSV327689:KTK327692 KSV393225:KTK393228 KSV458761:KTK458764 KSV524297:KTK524300 KSV589833:KTK589836 KSV655369:KTK655372 KSV720905:KTK720908 KSV786441:KTK786444 KSV851977:KTK851980 KSV917513:KTK917516 KSV983049:KTK983052 LCR11:LDG14 LCR65545:LDG65548 LCR131081:LDG131084 LCR196617:LDG196620 LCR262153:LDG262156 LCR327689:LDG327692 LCR393225:LDG393228 LCR458761:LDG458764 LCR524297:LDG524300 LCR589833:LDG589836 LCR655369:LDG655372 LCR720905:LDG720908 LCR786441:LDG786444 LCR851977:LDG851980 LCR917513:LDG917516 LCR983049:LDG983052 LMN11:LNC14 LMN65545:LNC65548 LMN131081:LNC131084 LMN196617:LNC196620 LMN262153:LNC262156 LMN327689:LNC327692 LMN393225:LNC393228 LMN458761:LNC458764 LMN524297:LNC524300 LMN589833:LNC589836 LMN655369:LNC655372 LMN720905:LNC720908 LMN786441:LNC786444 LMN851977:LNC851980 LMN917513:LNC917516 LMN983049:LNC983052 LWJ11:LWY14 LWJ65545:LWY65548 LWJ131081:LWY131084 LWJ196617:LWY196620 LWJ262153:LWY262156 LWJ327689:LWY327692 LWJ393225:LWY393228 LWJ458761:LWY458764 LWJ524297:LWY524300 LWJ589833:LWY589836 LWJ655369:LWY655372 LWJ720905:LWY720908 LWJ786441:LWY786444 LWJ851977:LWY851980 LWJ917513:LWY917516 LWJ983049:LWY983052 MGF11:MGU14 MGF65545:MGU65548 MGF131081:MGU131084 MGF196617:MGU196620 MGF262153:MGU262156 MGF327689:MGU327692 MGF393225:MGU393228 MGF458761:MGU458764 MGF524297:MGU524300 MGF589833:MGU589836 MGF655369:MGU655372 MGF720905:MGU720908 MGF786441:MGU786444 MGF851977:MGU851980 MGF917513:MGU917516 MGF983049:MGU983052 MQB11:MQQ14 MQB65545:MQQ65548 MQB131081:MQQ131084 MQB196617:MQQ196620 MQB262153:MQQ262156 MQB327689:MQQ327692 MQB393225:MQQ393228 MQB458761:MQQ458764 MQB524297:MQQ524300 MQB589833:MQQ589836 MQB655369:MQQ655372 MQB720905:MQQ720908 MQB786441:MQQ786444 MQB851977:MQQ851980 MQB917513:MQQ917516 MQB983049:MQQ983052 MZX11:NAM14 MZX65545:NAM65548 MZX131081:NAM131084 MZX196617:NAM196620 MZX262153:NAM262156 MZX327689:NAM327692 MZX393225:NAM393228 MZX458761:NAM458764 MZX524297:NAM524300 MZX589833:NAM589836 MZX655369:NAM655372 MZX720905:NAM720908 MZX786441:NAM786444 MZX851977:NAM851980 MZX917513:NAM917516 MZX983049:NAM983052 NJT11:NKI14 NJT65545:NKI65548 NJT131081:NKI131084 NJT196617:NKI196620 NJT262153:NKI262156 NJT327689:NKI327692 NJT393225:NKI393228 NJT458761:NKI458764 NJT524297:NKI524300 NJT589833:NKI589836 NJT655369:NKI655372 NJT720905:NKI720908 NJT786441:NKI786444 NJT851977:NKI851980 NJT917513:NKI917516 NJT983049:NKI983052 NTP11:NUE14 NTP65545:NUE65548 NTP131081:NUE131084 NTP196617:NUE196620 NTP262153:NUE262156 NTP327689:NUE327692 NTP393225:NUE393228 NTP458761:NUE458764 NTP524297:NUE524300 NTP589833:NUE589836 NTP655369:NUE655372 NTP720905:NUE720908 NTP786441:NUE786444 NTP851977:NUE851980 NTP917513:NUE917516 NTP983049:NUE983052 ODL11:OEA14 ODL65545:OEA65548 ODL131081:OEA131084 ODL196617:OEA196620 ODL262153:OEA262156 ODL327689:OEA327692 ODL393225:OEA393228 ODL458761:OEA458764 ODL524297:OEA524300 ODL589833:OEA589836 ODL655369:OEA655372 ODL720905:OEA720908 ODL786441:OEA786444 ODL851977:OEA851980 ODL917513:OEA917516 ODL983049:OEA983052 ONH11:ONW14 ONH65545:ONW65548 ONH131081:ONW131084 ONH196617:ONW196620 ONH262153:ONW262156 ONH327689:ONW327692 ONH393225:ONW393228 ONH458761:ONW458764 ONH524297:ONW524300 ONH589833:ONW589836 ONH655369:ONW655372 ONH720905:ONW720908 ONH786441:ONW786444 ONH851977:ONW851980 ONH917513:ONW917516 ONH983049:ONW983052 OXD11:OXS14 OXD65545:OXS65548 OXD131081:OXS131084 OXD196617:OXS196620 OXD262153:OXS262156 OXD327689:OXS327692 OXD393225:OXS393228 OXD458761:OXS458764 OXD524297:OXS524300 OXD589833:OXS589836 OXD655369:OXS655372 OXD720905:OXS720908 OXD786441:OXS786444 OXD851977:OXS851980 OXD917513:OXS917516 OXD983049:OXS983052 PGZ11:PHO14 PGZ65545:PHO65548 PGZ131081:PHO131084 PGZ196617:PHO196620 PGZ262153:PHO262156 PGZ327689:PHO327692 PGZ393225:PHO393228 PGZ458761:PHO458764 PGZ524297:PHO524300 PGZ589833:PHO589836 PGZ655369:PHO655372 PGZ720905:PHO720908 PGZ786441:PHO786444 PGZ851977:PHO851980 PGZ917513:PHO917516 PGZ983049:PHO983052 PQV11:PRK14 PQV65545:PRK65548 PQV131081:PRK131084 PQV196617:PRK196620 PQV262153:PRK262156 PQV327689:PRK327692 PQV393225:PRK393228 PQV458761:PRK458764 PQV524297:PRK524300 PQV589833:PRK589836 PQV655369:PRK655372 PQV720905:PRK720908 PQV786441:PRK786444 PQV851977:PRK851980 PQV917513:PRK917516 PQV983049:PRK983052 QAR11:QBG14 QAR65545:QBG65548 QAR131081:QBG131084 QAR196617:QBG196620 QAR262153:QBG262156 QAR327689:QBG327692 QAR393225:QBG393228 QAR458761:QBG458764 QAR524297:QBG524300 QAR589833:QBG589836 QAR655369:QBG655372 QAR720905:QBG720908 QAR786441:QBG786444 QAR851977:QBG851980 QAR917513:QBG917516 QAR983049:QBG983052 QKN11:QLC14 QKN65545:QLC65548 QKN131081:QLC131084 QKN196617:QLC196620 QKN262153:QLC262156 QKN327689:QLC327692 QKN393225:QLC393228 QKN458761:QLC458764 QKN524297:QLC524300 QKN589833:QLC589836 QKN655369:QLC655372 QKN720905:QLC720908 QKN786441:QLC786444 QKN851977:QLC851980 QKN917513:QLC917516 QKN983049:QLC983052 QUJ11:QUY14 QUJ65545:QUY65548 QUJ131081:QUY131084 QUJ196617:QUY196620 QUJ262153:QUY262156 QUJ327689:QUY327692 QUJ393225:QUY393228 QUJ458761:QUY458764 QUJ524297:QUY524300 QUJ589833:QUY589836 QUJ655369:QUY655372 QUJ720905:QUY720908 QUJ786441:QUY786444 QUJ851977:QUY851980 QUJ917513:QUY917516 QUJ983049:QUY983052 REF11:REU14 REF65545:REU65548 REF131081:REU131084 REF196617:REU196620 REF262153:REU262156 REF327689:REU327692 REF393225:REU393228 REF458761:REU458764 REF524297:REU524300 REF589833:REU589836 REF655369:REU655372 REF720905:REU720908 REF786441:REU786444 REF851977:REU851980 REF917513:REU917516 REF983049:REU983052 ROB11:ROQ14 ROB65545:ROQ65548 ROB131081:ROQ131084 ROB196617:ROQ196620 ROB262153:ROQ262156 ROB327689:ROQ327692 ROB393225:ROQ393228 ROB458761:ROQ458764 ROB524297:ROQ524300 ROB589833:ROQ589836 ROB655369:ROQ655372 ROB720905:ROQ720908 ROB786441:ROQ786444 ROB851977:ROQ851980 ROB917513:ROQ917516 ROB983049:ROQ983052 RXX11:RYM14 RXX65545:RYM65548 RXX131081:RYM131084 RXX196617:RYM196620 RXX262153:RYM262156 RXX327689:RYM327692 RXX393225:RYM393228 RXX458761:RYM458764 RXX524297:RYM524300 RXX589833:RYM589836 RXX655369:RYM655372 RXX720905:RYM720908 RXX786441:RYM786444 RXX851977:RYM851980 RXX917513:RYM917516 RXX983049:RYM983052 SHT11:SII14 SHT65545:SII65548 SHT131081:SII131084 SHT196617:SII196620 SHT262153:SII262156 SHT327689:SII327692 SHT393225:SII393228 SHT458761:SII458764 SHT524297:SII524300 SHT589833:SII589836 SHT655369:SII655372 SHT720905:SII720908 SHT786441:SII786444 SHT851977:SII851980 SHT917513:SII917516 SHT983049:SII983052 SRP11:SSE14 SRP65545:SSE65548 SRP131081:SSE131084 SRP196617:SSE196620 SRP262153:SSE262156 SRP327689:SSE327692 SRP393225:SSE393228 SRP458761:SSE458764 SRP524297:SSE524300 SRP589833:SSE589836 SRP655369:SSE655372 SRP720905:SSE720908 SRP786441:SSE786444 SRP851977:SSE851980 SRP917513:SSE917516 SRP983049:SSE983052 TBL11:TCA14 TBL65545:TCA65548 TBL131081:TCA131084 TBL196617:TCA196620 TBL262153:TCA262156 TBL327689:TCA327692 TBL393225:TCA393228 TBL458761:TCA458764 TBL524297:TCA524300 TBL589833:TCA589836 TBL655369:TCA655372 TBL720905:TCA720908 TBL786441:TCA786444 TBL851977:TCA851980 TBL917513:TCA917516 TBL983049:TCA983052 TLH11:TLW14 TLH65545:TLW65548 TLH131081:TLW131084 TLH196617:TLW196620 TLH262153:TLW262156 TLH327689:TLW327692 TLH393225:TLW393228 TLH458761:TLW458764 TLH524297:TLW524300 TLH589833:TLW589836 TLH655369:TLW655372 TLH720905:TLW720908 TLH786441:TLW786444 TLH851977:TLW851980 TLH917513:TLW917516 TLH983049:TLW983052 TVD11:TVS14 TVD65545:TVS65548 TVD131081:TVS131084 TVD196617:TVS196620 TVD262153:TVS262156 TVD327689:TVS327692 TVD393225:TVS393228 TVD458761:TVS458764 TVD524297:TVS524300 TVD589833:TVS589836 TVD655369:TVS655372 TVD720905:TVS720908 TVD786441:TVS786444 TVD851977:TVS851980 TVD917513:TVS917516 TVD983049:TVS983052 UEZ11:UFO14 UEZ65545:UFO65548 UEZ131081:UFO131084 UEZ196617:UFO196620 UEZ262153:UFO262156 UEZ327689:UFO327692 UEZ393225:UFO393228 UEZ458761:UFO458764 UEZ524297:UFO524300 UEZ589833:UFO589836 UEZ655369:UFO655372 UEZ720905:UFO720908 UEZ786441:UFO786444 UEZ851977:UFO851980 UEZ917513:UFO917516 UEZ983049:UFO983052 UOV11:UPK14 UOV65545:UPK65548 UOV131081:UPK131084 UOV196617:UPK196620 UOV262153:UPK262156 UOV327689:UPK327692 UOV393225:UPK393228 UOV458761:UPK458764 UOV524297:UPK524300 UOV589833:UPK589836 UOV655369:UPK655372 UOV720905:UPK720908 UOV786441:UPK786444 UOV851977:UPK851980 UOV917513:UPK917516 UOV983049:UPK983052 UYR11:UZG14 UYR65545:UZG65548 UYR131081:UZG131084 UYR196617:UZG196620 UYR262153:UZG262156 UYR327689:UZG327692 UYR393225:UZG393228 UYR458761:UZG458764 UYR524297:UZG524300 UYR589833:UZG589836 UYR655369:UZG655372 UYR720905:UZG720908 UYR786441:UZG786444 UYR851977:UZG851980 UYR917513:UZG917516 UYR983049:UZG983052 VIN11:VJC14 VIN65545:VJC65548 VIN131081:VJC131084 VIN196617:VJC196620 VIN262153:VJC262156 VIN327689:VJC327692 VIN393225:VJC393228 VIN458761:VJC458764 VIN524297:VJC524300 VIN589833:VJC589836 VIN655369:VJC655372 VIN720905:VJC720908 VIN786441:VJC786444 VIN851977:VJC851980 VIN917513:VJC917516 VIN983049:VJC983052 VSJ11:VSY14 VSJ65545:VSY65548 VSJ131081:VSY131084 VSJ196617:VSY196620 VSJ262153:VSY262156 VSJ327689:VSY327692 VSJ393225:VSY393228 VSJ458761:VSY458764 VSJ524297:VSY524300 VSJ589833:VSY589836 VSJ655369:VSY655372 VSJ720905:VSY720908 VSJ786441:VSY786444 VSJ851977:VSY851980 VSJ917513:VSY917516 VSJ983049:VSY983052 WCF11:WCU14 WCF65545:WCU65548 WCF131081:WCU131084 WCF196617:WCU196620 WCF262153:WCU262156 WCF327689:WCU327692 WCF393225:WCU393228 WCF458761:WCU458764 WCF524297:WCU524300 WCF589833:WCU589836 WCF655369:WCU655372 WCF720905:WCU720908 WCF786441:WCU786444 WCF851977:WCU851980 WCF917513:WCU917516 WCF983049:WCU983052 WMB11:WMQ14 WMB65545:WMQ65548 WMB131081:WMQ131084 WMB196617:WMQ196620 WMB262153:WMQ262156 WMB327689:WMQ327692 WMB393225:WMQ393228 WMB458761:WMQ458764 WMB524297:WMQ524300 WMB589833:WMQ589836 WMB655369:WMQ655372 WMB720905:WMQ720908 WMB786441:WMQ786444 WMB851977:WMQ851980 WMB917513:WMQ917516 WMB983049:WMQ983052 WVX11:WWM14 WVX65545:WWM65548 WVX131081:WWM131084 WVX196617:WWM196620 WVX262153:WWM262156 WVX327689:WWM327692 WVX393225:WWM393228 WVX458761:WWM458764 WVX524297:WWM524300 WVX589833:WWM589836 WVX655369:WWM655372 WVX720905:WWM720908 WVX786441:WWM786444 WVX851977:WWM851980 WVX917513:WWM917516 WVX983049:WWM983052" xr:uid="{00000000-0002-0000-1300-000002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AJ81"/>
  <sheetViews>
    <sheetView showGridLines="0" zoomScaleNormal="100" zoomScaleSheetLayoutView="100" workbookViewId="0"/>
  </sheetViews>
  <sheetFormatPr defaultColWidth="9.125" defaultRowHeight="13.5"/>
  <cols>
    <col min="1" max="32" width="3" style="410" customWidth="1"/>
    <col min="33" max="33" width="2.25" style="410" customWidth="1"/>
    <col min="34" max="256" width="9" style="410" customWidth="1"/>
    <col min="257" max="288" width="3" style="410" customWidth="1"/>
    <col min="289" max="289" width="2.25" style="410" customWidth="1"/>
    <col min="290" max="512" width="9" style="410" customWidth="1"/>
    <col min="513" max="544" width="3" style="410" customWidth="1"/>
    <col min="545" max="545" width="2.25" style="410" customWidth="1"/>
    <col min="546" max="768" width="9" style="410" customWidth="1"/>
    <col min="769" max="800" width="3" style="410" customWidth="1"/>
    <col min="801" max="801" width="2.25" style="410" customWidth="1"/>
    <col min="802" max="1024" width="9" style="410" customWidth="1"/>
    <col min="1025" max="1056" width="3" style="410" customWidth="1"/>
    <col min="1057" max="1057" width="2.25" style="410" customWidth="1"/>
    <col min="1058" max="1280" width="9" style="410" customWidth="1"/>
    <col min="1281" max="1312" width="3" style="410" customWidth="1"/>
    <col min="1313" max="1313" width="2.25" style="410" customWidth="1"/>
    <col min="1314" max="1536" width="9" style="410" customWidth="1"/>
    <col min="1537" max="1568" width="3" style="410" customWidth="1"/>
    <col min="1569" max="1569" width="2.25" style="410" customWidth="1"/>
    <col min="1570" max="1792" width="9" style="410" customWidth="1"/>
    <col min="1793" max="1824" width="3" style="410" customWidth="1"/>
    <col min="1825" max="1825" width="2.25" style="410" customWidth="1"/>
    <col min="1826" max="2048" width="9" style="410" customWidth="1"/>
    <col min="2049" max="2080" width="3" style="410" customWidth="1"/>
    <col min="2081" max="2081" width="2.25" style="410" customWidth="1"/>
    <col min="2082" max="2304" width="9" style="410" customWidth="1"/>
    <col min="2305" max="2336" width="3" style="410" customWidth="1"/>
    <col min="2337" max="2337" width="2.25" style="410" customWidth="1"/>
    <col min="2338" max="2560" width="9" style="410" customWidth="1"/>
    <col min="2561" max="2592" width="3" style="410" customWidth="1"/>
    <col min="2593" max="2593" width="2.25" style="410" customWidth="1"/>
    <col min="2594" max="2816" width="9" style="410" customWidth="1"/>
    <col min="2817" max="2848" width="3" style="410" customWidth="1"/>
    <col min="2849" max="2849" width="2.25" style="410" customWidth="1"/>
    <col min="2850" max="3072" width="9" style="410" customWidth="1"/>
    <col min="3073" max="3104" width="3" style="410" customWidth="1"/>
    <col min="3105" max="3105" width="2.25" style="410" customWidth="1"/>
    <col min="3106" max="3328" width="9" style="410" customWidth="1"/>
    <col min="3329" max="3360" width="3" style="410" customWidth="1"/>
    <col min="3361" max="3361" width="2.25" style="410" customWidth="1"/>
    <col min="3362" max="3584" width="9" style="410" customWidth="1"/>
    <col min="3585" max="3616" width="3" style="410" customWidth="1"/>
    <col min="3617" max="3617" width="2.25" style="410" customWidth="1"/>
    <col min="3618" max="3840" width="9" style="410" customWidth="1"/>
    <col min="3841" max="3872" width="3" style="410" customWidth="1"/>
    <col min="3873" max="3873" width="2.25" style="410" customWidth="1"/>
    <col min="3874" max="4096" width="9" style="410" customWidth="1"/>
    <col min="4097" max="4128" width="3" style="410" customWidth="1"/>
    <col min="4129" max="4129" width="2.25" style="410" customWidth="1"/>
    <col min="4130" max="4352" width="9" style="410" customWidth="1"/>
    <col min="4353" max="4384" width="3" style="410" customWidth="1"/>
    <col min="4385" max="4385" width="2.25" style="410" customWidth="1"/>
    <col min="4386" max="4608" width="9" style="410" customWidth="1"/>
    <col min="4609" max="4640" width="3" style="410" customWidth="1"/>
    <col min="4641" max="4641" width="2.25" style="410" customWidth="1"/>
    <col min="4642" max="4864" width="9" style="410" customWidth="1"/>
    <col min="4865" max="4896" width="3" style="410" customWidth="1"/>
    <col min="4897" max="4897" width="2.25" style="410" customWidth="1"/>
    <col min="4898" max="5120" width="9" style="410" customWidth="1"/>
    <col min="5121" max="5152" width="3" style="410" customWidth="1"/>
    <col min="5153" max="5153" width="2.25" style="410" customWidth="1"/>
    <col min="5154" max="5376" width="9" style="410" customWidth="1"/>
    <col min="5377" max="5408" width="3" style="410" customWidth="1"/>
    <col min="5409" max="5409" width="2.25" style="410" customWidth="1"/>
    <col min="5410" max="5632" width="9" style="410" customWidth="1"/>
    <col min="5633" max="5664" width="3" style="410" customWidth="1"/>
    <col min="5665" max="5665" width="2.25" style="410" customWidth="1"/>
    <col min="5666" max="5888" width="9" style="410" customWidth="1"/>
    <col min="5889" max="5920" width="3" style="410" customWidth="1"/>
    <col min="5921" max="5921" width="2.25" style="410" customWidth="1"/>
    <col min="5922" max="6144" width="9" style="410" customWidth="1"/>
    <col min="6145" max="6176" width="3" style="410" customWidth="1"/>
    <col min="6177" max="6177" width="2.25" style="410" customWidth="1"/>
    <col min="6178" max="6400" width="9" style="410" customWidth="1"/>
    <col min="6401" max="6432" width="3" style="410" customWidth="1"/>
    <col min="6433" max="6433" width="2.25" style="410" customWidth="1"/>
    <col min="6434" max="6656" width="9" style="410" customWidth="1"/>
    <col min="6657" max="6688" width="3" style="410" customWidth="1"/>
    <col min="6689" max="6689" width="2.25" style="410" customWidth="1"/>
    <col min="6690" max="6912" width="9" style="410" customWidth="1"/>
    <col min="6913" max="6944" width="3" style="410" customWidth="1"/>
    <col min="6945" max="6945" width="2.25" style="410" customWidth="1"/>
    <col min="6946" max="7168" width="9" style="410" customWidth="1"/>
    <col min="7169" max="7200" width="3" style="410" customWidth="1"/>
    <col min="7201" max="7201" width="2.25" style="410" customWidth="1"/>
    <col min="7202" max="7424" width="9" style="410" customWidth="1"/>
    <col min="7425" max="7456" width="3" style="410" customWidth="1"/>
    <col min="7457" max="7457" width="2.25" style="410" customWidth="1"/>
    <col min="7458" max="7680" width="9" style="410" customWidth="1"/>
    <col min="7681" max="7712" width="3" style="410" customWidth="1"/>
    <col min="7713" max="7713" width="2.25" style="410" customWidth="1"/>
    <col min="7714" max="7936" width="9" style="410" customWidth="1"/>
    <col min="7937" max="7968" width="3" style="410" customWidth="1"/>
    <col min="7969" max="7969" width="2.25" style="410" customWidth="1"/>
    <col min="7970" max="8192" width="9" style="410" customWidth="1"/>
    <col min="8193" max="8224" width="3" style="410" customWidth="1"/>
    <col min="8225" max="8225" width="2.25" style="410" customWidth="1"/>
    <col min="8226" max="8448" width="9" style="410" customWidth="1"/>
    <col min="8449" max="8480" width="3" style="410" customWidth="1"/>
    <col min="8481" max="8481" width="2.25" style="410" customWidth="1"/>
    <col min="8482" max="8704" width="9" style="410" customWidth="1"/>
    <col min="8705" max="8736" width="3" style="410" customWidth="1"/>
    <col min="8737" max="8737" width="2.25" style="410" customWidth="1"/>
    <col min="8738" max="8960" width="9" style="410" customWidth="1"/>
    <col min="8961" max="8992" width="3" style="410" customWidth="1"/>
    <col min="8993" max="8993" width="2.25" style="410" customWidth="1"/>
    <col min="8994" max="9216" width="9" style="410" customWidth="1"/>
    <col min="9217" max="9248" width="3" style="410" customWidth="1"/>
    <col min="9249" max="9249" width="2.25" style="410" customWidth="1"/>
    <col min="9250" max="9472" width="9" style="410" customWidth="1"/>
    <col min="9473" max="9504" width="3" style="410" customWidth="1"/>
    <col min="9505" max="9505" width="2.25" style="410" customWidth="1"/>
    <col min="9506" max="9728" width="9" style="410" customWidth="1"/>
    <col min="9729" max="9760" width="3" style="410" customWidth="1"/>
    <col min="9761" max="9761" width="2.25" style="410" customWidth="1"/>
    <col min="9762" max="9984" width="9" style="410" customWidth="1"/>
    <col min="9985" max="10016" width="3" style="410" customWidth="1"/>
    <col min="10017" max="10017" width="2.25" style="410" customWidth="1"/>
    <col min="10018" max="10240" width="9" style="410" customWidth="1"/>
    <col min="10241" max="10272" width="3" style="410" customWidth="1"/>
    <col min="10273" max="10273" width="2.25" style="410" customWidth="1"/>
    <col min="10274" max="10496" width="9" style="410" customWidth="1"/>
    <col min="10497" max="10528" width="3" style="410" customWidth="1"/>
    <col min="10529" max="10529" width="2.25" style="410" customWidth="1"/>
    <col min="10530" max="10752" width="9" style="410" customWidth="1"/>
    <col min="10753" max="10784" width="3" style="410" customWidth="1"/>
    <col min="10785" max="10785" width="2.25" style="410" customWidth="1"/>
    <col min="10786" max="11008" width="9" style="410" customWidth="1"/>
    <col min="11009" max="11040" width="3" style="410" customWidth="1"/>
    <col min="11041" max="11041" width="2.25" style="410" customWidth="1"/>
    <col min="11042" max="11264" width="9" style="410" customWidth="1"/>
    <col min="11265" max="11296" width="3" style="410" customWidth="1"/>
    <col min="11297" max="11297" width="2.25" style="410" customWidth="1"/>
    <col min="11298" max="11520" width="9" style="410" customWidth="1"/>
    <col min="11521" max="11552" width="3" style="410" customWidth="1"/>
    <col min="11553" max="11553" width="2.25" style="410" customWidth="1"/>
    <col min="11554" max="11776" width="9" style="410" customWidth="1"/>
    <col min="11777" max="11808" width="3" style="410" customWidth="1"/>
    <col min="11809" max="11809" width="2.25" style="410" customWidth="1"/>
    <col min="11810" max="12032" width="9" style="410" customWidth="1"/>
    <col min="12033" max="12064" width="3" style="410" customWidth="1"/>
    <col min="12065" max="12065" width="2.25" style="410" customWidth="1"/>
    <col min="12066" max="12288" width="9" style="410" customWidth="1"/>
    <col min="12289" max="12320" width="3" style="410" customWidth="1"/>
    <col min="12321" max="12321" width="2.25" style="410" customWidth="1"/>
    <col min="12322" max="12544" width="9" style="410" customWidth="1"/>
    <col min="12545" max="12576" width="3" style="410" customWidth="1"/>
    <col min="12577" max="12577" width="2.25" style="410" customWidth="1"/>
    <col min="12578" max="12800" width="9" style="410" customWidth="1"/>
    <col min="12801" max="12832" width="3" style="410" customWidth="1"/>
    <col min="12833" max="12833" width="2.25" style="410" customWidth="1"/>
    <col min="12834" max="13056" width="9" style="410" customWidth="1"/>
    <col min="13057" max="13088" width="3" style="410" customWidth="1"/>
    <col min="13089" max="13089" width="2.25" style="410" customWidth="1"/>
    <col min="13090" max="13312" width="9" style="410" customWidth="1"/>
    <col min="13313" max="13344" width="3" style="410" customWidth="1"/>
    <col min="13345" max="13345" width="2.25" style="410" customWidth="1"/>
    <col min="13346" max="13568" width="9" style="410" customWidth="1"/>
    <col min="13569" max="13600" width="3" style="410" customWidth="1"/>
    <col min="13601" max="13601" width="2.25" style="410" customWidth="1"/>
    <col min="13602" max="13824" width="9" style="410" customWidth="1"/>
    <col min="13825" max="13856" width="3" style="410" customWidth="1"/>
    <col min="13857" max="13857" width="2.25" style="410" customWidth="1"/>
    <col min="13858" max="14080" width="9" style="410" customWidth="1"/>
    <col min="14081" max="14112" width="3" style="410" customWidth="1"/>
    <col min="14113" max="14113" width="2.25" style="410" customWidth="1"/>
    <col min="14114" max="14336" width="9" style="410" customWidth="1"/>
    <col min="14337" max="14368" width="3" style="410" customWidth="1"/>
    <col min="14369" max="14369" width="2.25" style="410" customWidth="1"/>
    <col min="14370" max="14592" width="9" style="410" customWidth="1"/>
    <col min="14593" max="14624" width="3" style="410" customWidth="1"/>
    <col min="14625" max="14625" width="2.25" style="410" customWidth="1"/>
    <col min="14626" max="14848" width="9" style="410" customWidth="1"/>
    <col min="14849" max="14880" width="3" style="410" customWidth="1"/>
    <col min="14881" max="14881" width="2.25" style="410" customWidth="1"/>
    <col min="14882" max="15104" width="9" style="410" customWidth="1"/>
    <col min="15105" max="15136" width="3" style="410" customWidth="1"/>
    <col min="15137" max="15137" width="2.25" style="410" customWidth="1"/>
    <col min="15138" max="15360" width="9" style="410" customWidth="1"/>
    <col min="15361" max="15392" width="3" style="410" customWidth="1"/>
    <col min="15393" max="15393" width="2.25" style="410" customWidth="1"/>
    <col min="15394" max="15616" width="9" style="410" customWidth="1"/>
    <col min="15617" max="15648" width="3" style="410" customWidth="1"/>
    <col min="15649" max="15649" width="2.25" style="410" customWidth="1"/>
    <col min="15650" max="15872" width="9" style="410" customWidth="1"/>
    <col min="15873" max="15904" width="3" style="410" customWidth="1"/>
    <col min="15905" max="15905" width="2.25" style="410" customWidth="1"/>
    <col min="15906" max="16128" width="9" style="410" customWidth="1"/>
    <col min="16129" max="16160" width="3" style="410" customWidth="1"/>
    <col min="16161" max="16161" width="2.25" style="410" customWidth="1"/>
    <col min="16162" max="16384" width="9" style="410" customWidth="1"/>
  </cols>
  <sheetData>
    <row r="1" spans="1:33" s="417" customFormat="1" ht="2.85" customHeight="1" thickBot="1">
      <c r="C1" s="439"/>
      <c r="G1" s="439"/>
      <c r="N1" s="439"/>
    </row>
    <row r="2" spans="1:33" ht="12.75" customHeight="1" thickTop="1" thickBot="1">
      <c r="A2" s="410" t="s">
        <v>3459</v>
      </c>
      <c r="E2" s="442"/>
      <c r="F2" s="443"/>
      <c r="G2" s="443"/>
      <c r="H2" s="1356" t="s">
        <v>3460</v>
      </c>
      <c r="I2" s="1357"/>
      <c r="J2" s="1357"/>
      <c r="K2" s="1357"/>
      <c r="L2" s="1357"/>
      <c r="M2" s="1357"/>
      <c r="N2" s="1357"/>
      <c r="O2" s="1357"/>
      <c r="P2" s="1357"/>
      <c r="Q2" s="1357"/>
      <c r="R2" s="1357"/>
      <c r="S2" s="1357"/>
      <c r="T2" s="1357"/>
      <c r="U2" s="1357"/>
      <c r="V2" s="1357"/>
      <c r="W2" s="1357"/>
      <c r="X2" s="1357"/>
      <c r="Y2" s="1357"/>
      <c r="Z2" s="1357"/>
      <c r="AA2" s="1357"/>
      <c r="AB2" s="1357"/>
      <c r="AC2" s="1357"/>
      <c r="AD2" s="1357"/>
      <c r="AE2" s="1357"/>
      <c r="AF2" s="1358"/>
      <c r="AG2" s="443"/>
    </row>
    <row r="3" spans="1:33" ht="12.75" customHeight="1" thickTop="1">
      <c r="E3" s="411"/>
      <c r="F3" s="444"/>
      <c r="G3" s="444"/>
      <c r="H3" s="452"/>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row>
    <row r="4" spans="1:33" s="445" customFormat="1" ht="20.100000000000001" customHeight="1">
      <c r="A4" s="1251" t="s">
        <v>3461</v>
      </c>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row>
    <row r="5" spans="1:33" ht="20.100000000000001" customHeight="1">
      <c r="W5" s="1359" t="s">
        <v>3462</v>
      </c>
      <c r="X5" s="1359"/>
      <c r="Y5" s="1359"/>
      <c r="Z5" s="1359"/>
      <c r="AA5" s="1359"/>
      <c r="AB5" s="1359"/>
      <c r="AC5" s="1359"/>
      <c r="AD5" s="1359"/>
      <c r="AE5" s="1359"/>
      <c r="AF5" s="1359"/>
    </row>
    <row r="6" spans="1:33" ht="12.75" customHeight="1">
      <c r="A6" s="410" t="s">
        <v>3463</v>
      </c>
    </row>
    <row r="7" spans="1:33" ht="12.75" customHeight="1">
      <c r="A7" s="410" t="s">
        <v>3464</v>
      </c>
      <c r="B7" s="405"/>
      <c r="C7" s="405"/>
      <c r="D7" s="405"/>
      <c r="E7" s="405"/>
      <c r="F7" s="405"/>
      <c r="G7" s="405"/>
      <c r="H7" s="405"/>
      <c r="I7" s="405"/>
      <c r="J7" s="405"/>
      <c r="K7" s="405"/>
      <c r="L7" s="405"/>
      <c r="M7" s="405"/>
      <c r="N7" s="1226"/>
      <c r="O7" s="1226"/>
      <c r="P7" s="1360"/>
      <c r="Q7" s="1360"/>
      <c r="R7" s="1361"/>
      <c r="S7" s="1361"/>
      <c r="T7" s="1361"/>
      <c r="U7" s="1361"/>
      <c r="V7" s="1361"/>
      <c r="W7" s="1361"/>
      <c r="X7" s="1361"/>
      <c r="Y7" s="1361"/>
      <c r="Z7" s="1361"/>
      <c r="AA7" s="1361"/>
      <c r="AB7" s="1361"/>
      <c r="AC7" s="1361"/>
      <c r="AD7" s="1361"/>
      <c r="AE7" s="1361"/>
    </row>
    <row r="8" spans="1:33" ht="12.75" customHeight="1">
      <c r="B8" s="405"/>
      <c r="C8" s="405"/>
      <c r="D8" s="405"/>
      <c r="E8" s="405"/>
      <c r="F8" s="405"/>
      <c r="G8" s="405"/>
      <c r="I8" s="405"/>
      <c r="K8" s="405"/>
      <c r="L8" s="405"/>
      <c r="N8" s="1226"/>
      <c r="O8" s="1226"/>
      <c r="P8" s="1360"/>
      <c r="Q8" s="1360"/>
      <c r="R8" s="1361"/>
      <c r="S8" s="1361"/>
      <c r="T8" s="1361"/>
      <c r="U8" s="1361"/>
      <c r="V8" s="1361"/>
      <c r="W8" s="1361"/>
      <c r="X8" s="1361"/>
      <c r="Y8" s="1361"/>
      <c r="Z8" s="1361"/>
      <c r="AA8" s="1361"/>
      <c r="AB8" s="1361"/>
      <c r="AC8" s="1361"/>
      <c r="AD8" s="1361"/>
      <c r="AE8" s="1361"/>
    </row>
    <row r="9" spans="1:33" ht="20.100000000000001" customHeight="1">
      <c r="A9" s="438"/>
      <c r="N9" s="446" t="s">
        <v>3465</v>
      </c>
      <c r="P9" s="438"/>
      <c r="Q9" s="476"/>
      <c r="R9" s="477"/>
      <c r="S9" s="477"/>
      <c r="T9" s="1354"/>
      <c r="U9" s="1355"/>
      <c r="V9" s="1355"/>
      <c r="W9" s="1355"/>
      <c r="X9" s="1355"/>
      <c r="Y9" s="1355"/>
      <c r="Z9" s="1355"/>
      <c r="AA9" s="1355"/>
      <c r="AB9" s="1355"/>
      <c r="AC9" s="1355"/>
      <c r="AD9" s="1355"/>
      <c r="AE9" s="1355"/>
      <c r="AF9" s="1355"/>
    </row>
    <row r="10" spans="1:33" s="406" customFormat="1" ht="15" customHeight="1">
      <c r="R10" s="1336" t="s">
        <v>178</v>
      </c>
      <c r="S10" s="1336"/>
      <c r="T10" s="1336"/>
      <c r="U10" s="1336"/>
      <c r="V10" s="1336"/>
      <c r="W10" s="1336"/>
      <c r="X10" s="1336"/>
      <c r="Y10" s="1336"/>
      <c r="Z10" s="1336"/>
      <c r="AA10" s="1336"/>
      <c r="AB10" s="1336"/>
      <c r="AC10" s="1336"/>
      <c r="AD10" s="1336"/>
    </row>
    <row r="11" spans="1:33" ht="16.5" customHeight="1">
      <c r="A11" s="447"/>
      <c r="B11" s="412" t="s">
        <v>3466</v>
      </c>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row>
    <row r="12" spans="1:33" ht="20.100000000000001" customHeight="1">
      <c r="A12" s="1226" t="s">
        <v>3346</v>
      </c>
      <c r="B12" s="1226"/>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row>
    <row r="13" spans="1:33" ht="16.5" customHeight="1">
      <c r="A13" s="1319" t="s">
        <v>3414</v>
      </c>
      <c r="B13" s="1312"/>
      <c r="C13" s="1312"/>
      <c r="D13" s="1312"/>
      <c r="E13" s="1312"/>
      <c r="F13" s="1312"/>
      <c r="G13" s="1312"/>
      <c r="H13" s="1338" t="s">
        <v>3426</v>
      </c>
      <c r="I13" s="1339"/>
      <c r="J13" s="1342"/>
      <c r="K13" s="1342"/>
      <c r="L13" s="1342"/>
      <c r="M13" s="1342"/>
      <c r="N13" s="1344" t="s">
        <v>3427</v>
      </c>
      <c r="O13" s="1274"/>
      <c r="P13" s="1274"/>
      <c r="Q13" s="1274"/>
      <c r="R13" s="1274"/>
      <c r="S13" s="1342"/>
      <c r="T13" s="1342"/>
      <c r="U13" s="1342"/>
      <c r="V13" s="1342"/>
      <c r="W13" s="1346" t="s">
        <v>2849</v>
      </c>
      <c r="X13" s="1348" t="s">
        <v>3421</v>
      </c>
      <c r="Y13" s="1349"/>
      <c r="Z13" s="1349"/>
      <c r="AA13" s="1349"/>
      <c r="AB13" s="1349"/>
      <c r="AC13" s="1349"/>
      <c r="AD13" s="1349"/>
      <c r="AE13" s="1349"/>
      <c r="AF13" s="1350"/>
    </row>
    <row r="14" spans="1:33" ht="16.5" customHeight="1">
      <c r="A14" s="1337"/>
      <c r="B14" s="1337"/>
      <c r="C14" s="1337"/>
      <c r="D14" s="1337"/>
      <c r="E14" s="1337"/>
      <c r="F14" s="1337"/>
      <c r="G14" s="1337"/>
      <c r="H14" s="1340"/>
      <c r="I14" s="1341"/>
      <c r="J14" s="1343"/>
      <c r="K14" s="1343"/>
      <c r="L14" s="1343"/>
      <c r="M14" s="1343"/>
      <c r="N14" s="1345"/>
      <c r="O14" s="1345"/>
      <c r="P14" s="1345"/>
      <c r="Q14" s="1345"/>
      <c r="R14" s="1345"/>
      <c r="S14" s="1343"/>
      <c r="T14" s="1343"/>
      <c r="U14" s="1343"/>
      <c r="V14" s="1343"/>
      <c r="W14" s="1347"/>
      <c r="X14" s="1351"/>
      <c r="Y14" s="1352"/>
      <c r="Z14" s="1352"/>
      <c r="AA14" s="1352"/>
      <c r="AB14" s="1352"/>
      <c r="AC14" s="1352"/>
      <c r="AD14" s="1352"/>
      <c r="AE14" s="1352"/>
      <c r="AF14" s="1353"/>
    </row>
    <row r="15" spans="1:33" ht="18" customHeight="1">
      <c r="A15" s="1321" t="s">
        <v>3467</v>
      </c>
      <c r="B15" s="1322"/>
      <c r="C15" s="1322"/>
      <c r="D15" s="1322"/>
      <c r="E15" s="1322"/>
      <c r="F15" s="1322"/>
      <c r="G15" s="1323"/>
      <c r="H15" s="1330"/>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2"/>
    </row>
    <row r="16" spans="1:33" ht="18" customHeight="1">
      <c r="A16" s="1324"/>
      <c r="B16" s="1325"/>
      <c r="C16" s="1325"/>
      <c r="D16" s="1325"/>
      <c r="E16" s="1325"/>
      <c r="F16" s="1325"/>
      <c r="G16" s="1326"/>
      <c r="H16" s="1198"/>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200"/>
    </row>
    <row r="17" spans="1:32" ht="18" customHeight="1">
      <c r="A17" s="1327"/>
      <c r="B17" s="1328"/>
      <c r="C17" s="1328"/>
      <c r="D17" s="1328"/>
      <c r="E17" s="1328"/>
      <c r="F17" s="1328"/>
      <c r="G17" s="1329"/>
      <c r="H17" s="1201"/>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2"/>
      <c r="AF17" s="1203"/>
    </row>
    <row r="18" spans="1:32" ht="18" customHeight="1">
      <c r="A18" s="1333" t="s">
        <v>3468</v>
      </c>
      <c r="B18" s="1333"/>
      <c r="C18" s="1333"/>
      <c r="D18" s="1333"/>
      <c r="E18" s="1333"/>
      <c r="F18" s="1333"/>
      <c r="G18" s="1333"/>
      <c r="H18" s="1334"/>
      <c r="I18" s="1334"/>
      <c r="J18" s="1334"/>
      <c r="K18" s="1334"/>
      <c r="L18" s="1334"/>
      <c r="M18" s="1334"/>
      <c r="N18" s="1334"/>
      <c r="O18" s="1334"/>
      <c r="P18" s="1334"/>
      <c r="Q18" s="1334"/>
      <c r="R18" s="1334"/>
      <c r="S18" s="1334"/>
      <c r="T18" s="1334"/>
      <c r="U18" s="1334"/>
      <c r="V18" s="1334"/>
      <c r="W18" s="1334"/>
      <c r="X18" s="1334"/>
      <c r="Y18" s="1333" t="s">
        <v>1686</v>
      </c>
      <c r="Z18" s="1333"/>
      <c r="AA18" s="1333"/>
      <c r="AB18" s="1333"/>
      <c r="AC18" s="1335"/>
      <c r="AD18" s="1335"/>
      <c r="AE18" s="1335"/>
      <c r="AF18" s="1335"/>
    </row>
    <row r="19" spans="1:32" ht="18" customHeight="1">
      <c r="A19" s="1309" t="s">
        <v>3469</v>
      </c>
      <c r="B19" s="1309"/>
      <c r="C19" s="1310" t="s">
        <v>3470</v>
      </c>
      <c r="D19" s="1311"/>
      <c r="E19" s="1311"/>
      <c r="F19" s="1311"/>
      <c r="G19" s="1311"/>
      <c r="H19" s="1271" t="s">
        <v>3471</v>
      </c>
      <c r="I19" s="1271"/>
      <c r="J19" s="755" t="s">
        <v>3472</v>
      </c>
      <c r="K19" s="755"/>
      <c r="L19" s="755"/>
      <c r="M19" s="755"/>
      <c r="N19" s="755"/>
      <c r="O19" s="1302"/>
      <c r="P19" s="1302"/>
      <c r="Q19" s="1302"/>
      <c r="R19" s="1302"/>
      <c r="S19" s="1302"/>
      <c r="T19" s="1302"/>
      <c r="U19" s="1302"/>
      <c r="V19" s="1302"/>
      <c r="W19" s="1302"/>
      <c r="X19" s="1302"/>
      <c r="Y19" s="1302"/>
      <c r="Z19" s="1302"/>
      <c r="AA19" s="1302"/>
      <c r="AB19" s="1302"/>
      <c r="AC19" s="1302"/>
      <c r="AD19" s="1302"/>
      <c r="AE19" s="1302"/>
      <c r="AF19" s="1303"/>
    </row>
    <row r="20" spans="1:32" ht="2.25" customHeight="1">
      <c r="A20" s="1309"/>
      <c r="B20" s="1309"/>
      <c r="C20" s="1310"/>
      <c r="D20" s="1311"/>
      <c r="E20" s="1311"/>
      <c r="F20" s="1311"/>
      <c r="G20" s="1311"/>
      <c r="H20" s="1271"/>
      <c r="I20" s="1271"/>
      <c r="AF20" s="448"/>
    </row>
    <row r="21" spans="1:32" ht="18" customHeight="1">
      <c r="A21" s="1281"/>
      <c r="B21" s="1281"/>
      <c r="C21" s="1312"/>
      <c r="D21" s="1312"/>
      <c r="E21" s="1312"/>
      <c r="F21" s="1312"/>
      <c r="G21" s="1312"/>
      <c r="H21" s="1271"/>
      <c r="I21" s="1271"/>
      <c r="J21" s="410" t="s">
        <v>247</v>
      </c>
      <c r="O21" s="1304"/>
      <c r="P21" s="1304"/>
      <c r="Q21" s="1304"/>
      <c r="R21" s="1304"/>
      <c r="S21" s="1304"/>
      <c r="T21" s="1304"/>
      <c r="U21" s="1304"/>
      <c r="V21" s="1304"/>
      <c r="W21" s="1304"/>
      <c r="X21" s="1304"/>
      <c r="Y21" s="1304"/>
      <c r="Z21" s="1304"/>
      <c r="AA21" s="1304"/>
      <c r="AB21" s="1304"/>
      <c r="AC21" s="1304"/>
      <c r="AD21" s="1304"/>
      <c r="AE21" s="1304"/>
      <c r="AF21" s="1305"/>
    </row>
    <row r="22" spans="1:32" ht="2.25" customHeight="1">
      <c r="A22" s="1281"/>
      <c r="B22" s="1281"/>
      <c r="C22" s="1312"/>
      <c r="D22" s="1312"/>
      <c r="E22" s="1312"/>
      <c r="F22" s="1312"/>
      <c r="G22" s="1312"/>
      <c r="H22" s="1271"/>
      <c r="I22" s="1271"/>
      <c r="AF22" s="448"/>
    </row>
    <row r="23" spans="1:32" ht="18" customHeight="1">
      <c r="A23" s="1281"/>
      <c r="B23" s="1281"/>
      <c r="C23" s="1312"/>
      <c r="D23" s="1312"/>
      <c r="E23" s="1312"/>
      <c r="F23" s="1312"/>
      <c r="G23" s="1312"/>
      <c r="H23" s="1271"/>
      <c r="I23" s="1271"/>
      <c r="J23" s="410" t="s">
        <v>257</v>
      </c>
      <c r="O23" s="1304"/>
      <c r="P23" s="1304"/>
      <c r="Q23" s="1304"/>
      <c r="R23" s="1304"/>
      <c r="S23" s="1304"/>
      <c r="T23" s="1304"/>
      <c r="U23" s="1304"/>
      <c r="AF23" s="448"/>
    </row>
    <row r="24" spans="1:32" ht="2.25" customHeight="1">
      <c r="A24" s="1281"/>
      <c r="B24" s="1281"/>
      <c r="C24" s="1312"/>
      <c r="D24" s="1312"/>
      <c r="E24" s="1312"/>
      <c r="F24" s="1312"/>
      <c r="G24" s="1312"/>
      <c r="H24" s="1271"/>
      <c r="I24" s="1271"/>
      <c r="AF24" s="448"/>
    </row>
    <row r="25" spans="1:32" ht="18" customHeight="1">
      <c r="A25" s="1281"/>
      <c r="B25" s="1281"/>
      <c r="C25" s="1312"/>
      <c r="D25" s="1312"/>
      <c r="E25" s="1312"/>
      <c r="F25" s="1312"/>
      <c r="G25" s="1312"/>
      <c r="H25" s="1271"/>
      <c r="I25" s="1271"/>
      <c r="J25" s="410" t="s">
        <v>261</v>
      </c>
      <c r="O25" s="1304"/>
      <c r="P25" s="1304"/>
      <c r="Q25" s="1304"/>
      <c r="R25" s="1304"/>
      <c r="S25" s="1304"/>
      <c r="T25" s="1304"/>
      <c r="U25" s="1304"/>
      <c r="V25" s="1304"/>
      <c r="W25" s="1304"/>
      <c r="X25" s="1304"/>
      <c r="Y25" s="1304"/>
      <c r="Z25" s="1304"/>
      <c r="AA25" s="1304"/>
      <c r="AB25" s="1304"/>
      <c r="AC25" s="1304"/>
      <c r="AD25" s="1304"/>
      <c r="AE25" s="1304"/>
      <c r="AF25" s="1305"/>
    </row>
    <row r="26" spans="1:32" ht="2.25" customHeight="1">
      <c r="A26" s="1281"/>
      <c r="B26" s="1281"/>
      <c r="C26" s="1312"/>
      <c r="D26" s="1312"/>
      <c r="E26" s="1312"/>
      <c r="F26" s="1312"/>
      <c r="G26" s="1312"/>
      <c r="H26" s="1313"/>
      <c r="I26" s="1313"/>
      <c r="AF26" s="448"/>
    </row>
    <row r="27" spans="1:32" ht="18.75" customHeight="1">
      <c r="A27" s="1281"/>
      <c r="B27" s="1281"/>
      <c r="C27" s="1312"/>
      <c r="D27" s="1312"/>
      <c r="E27" s="1312"/>
      <c r="F27" s="1312"/>
      <c r="G27" s="1312"/>
      <c r="H27" s="1313"/>
      <c r="I27" s="1313"/>
      <c r="J27" s="410" t="s">
        <v>264</v>
      </c>
      <c r="O27" s="1304"/>
      <c r="P27" s="1304"/>
      <c r="Q27" s="1304"/>
      <c r="R27" s="1304"/>
      <c r="S27" s="1304"/>
      <c r="T27" s="1304"/>
      <c r="U27" s="1304"/>
      <c r="V27" s="1304"/>
      <c r="W27" s="1304"/>
      <c r="X27" s="1304"/>
      <c r="Y27" s="1304"/>
      <c r="Z27" s="1304"/>
      <c r="AA27" s="1304"/>
      <c r="AB27" s="1304"/>
      <c r="AC27" s="1304"/>
      <c r="AD27" s="1304"/>
      <c r="AE27" s="1304"/>
      <c r="AF27" s="1305"/>
    </row>
    <row r="28" spans="1:32" ht="22.5" customHeight="1">
      <c r="A28" s="1281"/>
      <c r="B28" s="1281"/>
      <c r="C28" s="1312"/>
      <c r="D28" s="1312"/>
      <c r="E28" s="1312"/>
      <c r="F28" s="1312"/>
      <c r="G28" s="1312"/>
      <c r="H28" s="1271" t="s">
        <v>3473</v>
      </c>
      <c r="I28" s="1271"/>
      <c r="J28" s="1314"/>
      <c r="K28" s="1315"/>
      <c r="L28" s="1315"/>
      <c r="M28" s="1315"/>
      <c r="N28" s="1315"/>
      <c r="O28" s="1315"/>
      <c r="P28" s="1315"/>
      <c r="Q28" s="1315"/>
      <c r="R28" s="1315"/>
      <c r="S28" s="1315"/>
      <c r="T28" s="1315"/>
      <c r="U28" s="1315"/>
      <c r="V28" s="1315"/>
      <c r="W28" s="1315"/>
      <c r="X28" s="1315"/>
      <c r="Y28" s="1315"/>
      <c r="Z28" s="1315"/>
      <c r="AA28" s="1315"/>
      <c r="AB28" s="1315"/>
      <c r="AC28" s="1315"/>
      <c r="AD28" s="1315"/>
      <c r="AE28" s="1315"/>
      <c r="AF28" s="1316"/>
    </row>
    <row r="29" spans="1:32" ht="18" customHeight="1">
      <c r="A29" s="1281"/>
      <c r="B29" s="1281"/>
      <c r="C29" s="1319" t="s">
        <v>3474</v>
      </c>
      <c r="D29" s="1312"/>
      <c r="E29" s="1312"/>
      <c r="F29" s="1312"/>
      <c r="G29" s="1312"/>
      <c r="H29" s="1271" t="s">
        <v>3471</v>
      </c>
      <c r="I29" s="1271"/>
      <c r="J29" s="755" t="s">
        <v>3475</v>
      </c>
      <c r="K29" s="755"/>
      <c r="L29" s="421" t="s">
        <v>178</v>
      </c>
      <c r="M29" s="421"/>
      <c r="N29" s="421"/>
      <c r="O29" s="410" t="s">
        <v>3476</v>
      </c>
      <c r="P29" s="1320" t="s">
        <v>2900</v>
      </c>
      <c r="Q29" s="1320"/>
      <c r="R29" s="1320"/>
      <c r="S29" s="449" t="s">
        <v>3477</v>
      </c>
      <c r="T29" s="421"/>
      <c r="U29" s="439" t="s">
        <v>2912</v>
      </c>
      <c r="V29" s="1320" t="s">
        <v>2900</v>
      </c>
      <c r="W29" s="1320"/>
      <c r="X29" s="1320"/>
      <c r="Y29" s="417" t="s">
        <v>3478</v>
      </c>
      <c r="Z29" s="417"/>
      <c r="AA29" s="417" t="s">
        <v>2947</v>
      </c>
      <c r="AB29" s="1308"/>
      <c r="AC29" s="1308"/>
      <c r="AD29" s="1308"/>
      <c r="AE29" s="1308"/>
      <c r="AF29" s="450" t="s">
        <v>2849</v>
      </c>
    </row>
    <row r="30" spans="1:32" ht="2.25" customHeight="1">
      <c r="A30" s="1281"/>
      <c r="B30" s="1281"/>
      <c r="C30" s="1319"/>
      <c r="D30" s="1312"/>
      <c r="E30" s="1312"/>
      <c r="F30" s="1312"/>
      <c r="G30" s="1312"/>
      <c r="H30" s="1271"/>
      <c r="I30" s="1271"/>
      <c r="AF30" s="448"/>
    </row>
    <row r="31" spans="1:32" ht="18" customHeight="1">
      <c r="A31" s="1281"/>
      <c r="B31" s="1281"/>
      <c r="C31" s="1312"/>
      <c r="D31" s="1312"/>
      <c r="E31" s="1312"/>
      <c r="F31" s="1312"/>
      <c r="G31" s="1312"/>
      <c r="H31" s="1271"/>
      <c r="I31" s="1271"/>
      <c r="J31" s="410" t="s">
        <v>247</v>
      </c>
      <c r="O31" s="1304"/>
      <c r="P31" s="1304"/>
      <c r="Q31" s="1304"/>
      <c r="R31" s="1304"/>
      <c r="S31" s="1304"/>
      <c r="T31" s="1304"/>
      <c r="U31" s="1304"/>
      <c r="V31" s="1304"/>
      <c r="W31" s="1304"/>
      <c r="X31" s="1304"/>
      <c r="Y31" s="1304"/>
      <c r="Z31" s="1304"/>
      <c r="AA31" s="1304"/>
      <c r="AB31" s="1304"/>
      <c r="AC31" s="1304"/>
      <c r="AD31" s="1304"/>
      <c r="AE31" s="1304"/>
      <c r="AF31" s="1305"/>
    </row>
    <row r="32" spans="1:32" ht="2.25" customHeight="1">
      <c r="A32" s="1281"/>
      <c r="B32" s="1281"/>
      <c r="C32" s="1312"/>
      <c r="D32" s="1312"/>
      <c r="E32" s="1312"/>
      <c r="F32" s="1312"/>
      <c r="G32" s="1312"/>
      <c r="H32" s="1271"/>
      <c r="I32" s="1271"/>
      <c r="AF32" s="448"/>
    </row>
    <row r="33" spans="1:36" ht="18" customHeight="1">
      <c r="A33" s="1281"/>
      <c r="B33" s="1281"/>
      <c r="C33" s="1312"/>
      <c r="D33" s="1312"/>
      <c r="E33" s="1312"/>
      <c r="F33" s="1312"/>
      <c r="G33" s="1312"/>
      <c r="H33" s="1271"/>
      <c r="I33" s="1271"/>
      <c r="J33" s="410" t="s">
        <v>3479</v>
      </c>
      <c r="O33" s="1307" t="s">
        <v>2900</v>
      </c>
      <c r="P33" s="1307"/>
      <c r="Q33" s="449" t="s">
        <v>3480</v>
      </c>
      <c r="S33" s="417"/>
      <c r="T33" s="417"/>
      <c r="U33" s="1307" t="s">
        <v>2900</v>
      </c>
      <c r="V33" s="1307"/>
      <c r="W33" s="421" t="s">
        <v>3481</v>
      </c>
      <c r="Z33" s="1307" t="s">
        <v>2900</v>
      </c>
      <c r="AA33" s="1307"/>
      <c r="AB33" s="417" t="s">
        <v>3482</v>
      </c>
      <c r="AC33" s="1267"/>
      <c r="AD33" s="1267"/>
      <c r="AE33" s="1267"/>
      <c r="AF33" s="432" t="s">
        <v>2849</v>
      </c>
      <c r="AG33" s="421"/>
    </row>
    <row r="34" spans="1:36" ht="2.25" customHeight="1">
      <c r="A34" s="1281"/>
      <c r="B34" s="1281"/>
      <c r="C34" s="1312"/>
      <c r="D34" s="1312"/>
      <c r="E34" s="1312"/>
      <c r="F34" s="1312"/>
      <c r="G34" s="1312"/>
      <c r="H34" s="1271"/>
      <c r="I34" s="1271"/>
      <c r="AF34" s="448"/>
    </row>
    <row r="35" spans="1:36" ht="18" customHeight="1">
      <c r="A35" s="1281"/>
      <c r="B35" s="1281"/>
      <c r="C35" s="1312"/>
      <c r="D35" s="1312"/>
      <c r="E35" s="1312"/>
      <c r="F35" s="1312"/>
      <c r="G35" s="1312"/>
      <c r="H35" s="1271"/>
      <c r="I35" s="1271"/>
      <c r="O35" s="1304"/>
      <c r="P35" s="1304"/>
      <c r="Q35" s="1304"/>
      <c r="R35" s="1304"/>
      <c r="S35" s="1304"/>
      <c r="T35" s="1304"/>
      <c r="U35" s="1304"/>
      <c r="V35" s="1304"/>
      <c r="W35" s="1304"/>
      <c r="X35" s="1304"/>
      <c r="Y35" s="1304"/>
      <c r="Z35" s="1304"/>
      <c r="AA35" s="1304"/>
      <c r="AB35" s="1304"/>
      <c r="AC35" s="1304"/>
      <c r="AD35" s="1304"/>
      <c r="AE35" s="1304"/>
      <c r="AF35" s="1305"/>
    </row>
    <row r="36" spans="1:36" ht="2.25" customHeight="1">
      <c r="A36" s="1281"/>
      <c r="B36" s="1281"/>
      <c r="C36" s="1312"/>
      <c r="D36" s="1312"/>
      <c r="E36" s="1312"/>
      <c r="F36" s="1312"/>
      <c r="G36" s="1312"/>
      <c r="H36" s="1271"/>
      <c r="I36" s="1271"/>
      <c r="AF36" s="448"/>
    </row>
    <row r="37" spans="1:36" ht="18" customHeight="1">
      <c r="A37" s="1281"/>
      <c r="B37" s="1281"/>
      <c r="C37" s="1312"/>
      <c r="D37" s="1312"/>
      <c r="E37" s="1312"/>
      <c r="F37" s="1312"/>
      <c r="G37" s="1312"/>
      <c r="H37" s="1271"/>
      <c r="I37" s="1271"/>
      <c r="J37" s="410" t="s">
        <v>257</v>
      </c>
      <c r="O37" s="1304"/>
      <c r="P37" s="1304"/>
      <c r="Q37" s="1304"/>
      <c r="R37" s="1304"/>
      <c r="S37" s="1304"/>
      <c r="T37" s="1304"/>
      <c r="U37" s="1304"/>
      <c r="AF37" s="448"/>
    </row>
    <row r="38" spans="1:36" ht="2.25" customHeight="1">
      <c r="A38" s="1281"/>
      <c r="B38" s="1281"/>
      <c r="C38" s="1312"/>
      <c r="D38" s="1312"/>
      <c r="E38" s="1312"/>
      <c r="F38" s="1312"/>
      <c r="G38" s="1312"/>
      <c r="H38" s="1271"/>
      <c r="I38" s="1271"/>
      <c r="AF38" s="448"/>
    </row>
    <row r="39" spans="1:36" ht="18" customHeight="1">
      <c r="A39" s="1281"/>
      <c r="B39" s="1281"/>
      <c r="C39" s="1312"/>
      <c r="D39" s="1312"/>
      <c r="E39" s="1312"/>
      <c r="F39" s="1312"/>
      <c r="G39" s="1312"/>
      <c r="H39" s="1271"/>
      <c r="I39" s="1271"/>
      <c r="J39" s="410" t="s">
        <v>469</v>
      </c>
      <c r="O39" s="1304"/>
      <c r="P39" s="1304"/>
      <c r="Q39" s="1304"/>
      <c r="R39" s="1304"/>
      <c r="S39" s="1304"/>
      <c r="T39" s="1304"/>
      <c r="U39" s="1304"/>
      <c r="V39" s="1304"/>
      <c r="W39" s="1304"/>
      <c r="X39" s="1304"/>
      <c r="Y39" s="1304"/>
      <c r="Z39" s="1304"/>
      <c r="AA39" s="1304"/>
      <c r="AB39" s="1304"/>
      <c r="AC39" s="1304"/>
      <c r="AD39" s="1304"/>
      <c r="AE39" s="1304"/>
      <c r="AF39" s="1305"/>
    </row>
    <row r="40" spans="1:36" ht="2.25" customHeight="1">
      <c r="A40" s="1281"/>
      <c r="B40" s="1281"/>
      <c r="C40" s="1312"/>
      <c r="D40" s="1312"/>
      <c r="E40" s="1312"/>
      <c r="F40" s="1312"/>
      <c r="G40" s="1312"/>
      <c r="H40" s="1271"/>
      <c r="I40" s="1271"/>
      <c r="AF40" s="448"/>
    </row>
    <row r="41" spans="1:36" ht="18" customHeight="1">
      <c r="A41" s="1281"/>
      <c r="B41" s="1281"/>
      <c r="C41" s="1312"/>
      <c r="D41" s="1312"/>
      <c r="E41" s="1312"/>
      <c r="F41" s="1312"/>
      <c r="G41" s="1312"/>
      <c r="H41" s="1271"/>
      <c r="I41" s="1271"/>
      <c r="J41" s="451" t="s">
        <v>264</v>
      </c>
      <c r="K41" s="451"/>
      <c r="L41" s="451"/>
      <c r="M41" s="451"/>
      <c r="N41" s="451"/>
      <c r="O41" s="1294"/>
      <c r="P41" s="1294"/>
      <c r="Q41" s="1294"/>
      <c r="R41" s="1294"/>
      <c r="S41" s="1294"/>
      <c r="T41" s="1294"/>
      <c r="U41" s="1294"/>
      <c r="V41" s="1294"/>
      <c r="W41" s="1294"/>
      <c r="X41" s="1294"/>
      <c r="Y41" s="1294"/>
      <c r="Z41" s="1294"/>
      <c r="AA41" s="1294"/>
      <c r="AB41" s="1294"/>
      <c r="AC41" s="1294"/>
      <c r="AD41" s="1294"/>
      <c r="AE41" s="1294"/>
      <c r="AF41" s="1295"/>
    </row>
    <row r="42" spans="1:36" ht="22.5" customHeight="1">
      <c r="A42" s="1281"/>
      <c r="B42" s="1281"/>
      <c r="C42" s="1312"/>
      <c r="D42" s="1312"/>
      <c r="E42" s="1312"/>
      <c r="F42" s="1312"/>
      <c r="G42" s="1312"/>
      <c r="H42" s="1271" t="s">
        <v>3473</v>
      </c>
      <c r="I42" s="1271"/>
      <c r="J42" s="1317"/>
      <c r="K42" s="1293"/>
      <c r="L42" s="1293"/>
      <c r="M42" s="1293"/>
      <c r="N42" s="1293"/>
      <c r="O42" s="1293"/>
      <c r="P42" s="1293"/>
      <c r="Q42" s="1293"/>
      <c r="R42" s="1293"/>
      <c r="S42" s="1293"/>
      <c r="T42" s="1293"/>
      <c r="U42" s="1293"/>
      <c r="V42" s="1293"/>
      <c r="W42" s="1293"/>
      <c r="X42" s="1293"/>
      <c r="Y42" s="1293"/>
      <c r="Z42" s="1293"/>
      <c r="AA42" s="1293"/>
      <c r="AB42" s="1293"/>
      <c r="AC42" s="1293"/>
      <c r="AD42" s="1293"/>
      <c r="AE42" s="1293"/>
      <c r="AF42" s="1318"/>
    </row>
    <row r="43" spans="1:36" ht="18" customHeight="1">
      <c r="A43" s="1281"/>
      <c r="B43" s="1281"/>
      <c r="C43" s="1306" t="s">
        <v>3483</v>
      </c>
      <c r="D43" s="1271"/>
      <c r="E43" s="1271"/>
      <c r="F43" s="1271"/>
      <c r="G43" s="1271"/>
      <c r="H43" s="1271" t="s">
        <v>3471</v>
      </c>
      <c r="I43" s="1271"/>
      <c r="J43" s="755" t="s">
        <v>3484</v>
      </c>
      <c r="K43" s="755"/>
      <c r="L43" s="755"/>
      <c r="M43" s="755"/>
      <c r="N43" s="755"/>
      <c r="O43" s="1302"/>
      <c r="P43" s="1302"/>
      <c r="Q43" s="1302"/>
      <c r="R43" s="1302"/>
      <c r="S43" s="1302"/>
      <c r="T43" s="1302"/>
      <c r="U43" s="1302"/>
      <c r="V43" s="1302"/>
      <c r="W43" s="1302"/>
      <c r="X43" s="1302"/>
      <c r="Y43" s="1302"/>
      <c r="Z43" s="1302"/>
      <c r="AA43" s="1302"/>
      <c r="AB43" s="1302"/>
      <c r="AC43" s="1302"/>
      <c r="AD43" s="1302"/>
      <c r="AE43" s="1302"/>
      <c r="AF43" s="1303"/>
    </row>
    <row r="44" spans="1:36" ht="2.25" customHeight="1">
      <c r="A44" s="1281"/>
      <c r="B44" s="1281"/>
      <c r="C44" s="1306"/>
      <c r="D44" s="1271"/>
      <c r="E44" s="1271"/>
      <c r="F44" s="1271"/>
      <c r="G44" s="1271"/>
      <c r="H44" s="1271"/>
      <c r="I44" s="1271"/>
      <c r="AF44" s="448"/>
    </row>
    <row r="45" spans="1:36" ht="18" customHeight="1">
      <c r="A45" s="1281"/>
      <c r="B45" s="1281"/>
      <c r="C45" s="1271"/>
      <c r="D45" s="1271"/>
      <c r="E45" s="1271"/>
      <c r="F45" s="1271"/>
      <c r="G45" s="1271"/>
      <c r="H45" s="1271"/>
      <c r="I45" s="1271"/>
      <c r="J45" s="410" t="s">
        <v>3485</v>
      </c>
      <c r="O45" s="417" t="s">
        <v>3486</v>
      </c>
      <c r="P45" s="417"/>
      <c r="Q45" s="417"/>
      <c r="R45" s="417"/>
      <c r="S45" s="1307" t="s">
        <v>2900</v>
      </c>
      <c r="T45" s="1307"/>
      <c r="U45" s="1307"/>
      <c r="V45" s="417" t="s">
        <v>3487</v>
      </c>
      <c r="W45" s="1307" t="s">
        <v>2900</v>
      </c>
      <c r="X45" s="1307"/>
      <c r="Y45" s="1307"/>
      <c r="Z45" s="1307"/>
      <c r="AA45" s="449" t="s">
        <v>3097</v>
      </c>
      <c r="AB45" s="1267"/>
      <c r="AC45" s="1267"/>
      <c r="AD45" s="1267"/>
      <c r="AE45" s="1267"/>
      <c r="AF45" s="432" t="s">
        <v>2849</v>
      </c>
      <c r="AG45" s="421"/>
      <c r="AH45" s="421"/>
      <c r="AI45" s="421"/>
      <c r="AJ45" s="449"/>
    </row>
    <row r="46" spans="1:36" ht="2.25" customHeight="1">
      <c r="A46" s="1281"/>
      <c r="B46" s="1281"/>
      <c r="C46" s="1271"/>
      <c r="D46" s="1271"/>
      <c r="E46" s="1271"/>
      <c r="F46" s="1271"/>
      <c r="G46" s="1271"/>
      <c r="H46" s="1271"/>
      <c r="I46" s="1271"/>
      <c r="AF46" s="448"/>
    </row>
    <row r="47" spans="1:36" ht="18" customHeight="1">
      <c r="A47" s="1281"/>
      <c r="B47" s="1281"/>
      <c r="C47" s="1271"/>
      <c r="D47" s="1271"/>
      <c r="E47" s="1271"/>
      <c r="F47" s="1271"/>
      <c r="G47" s="1271"/>
      <c r="H47" s="1271"/>
      <c r="I47" s="1271"/>
      <c r="O47" s="1304"/>
      <c r="P47" s="1304"/>
      <c r="Q47" s="1304"/>
      <c r="R47" s="1304"/>
      <c r="S47" s="1304"/>
      <c r="T47" s="1304"/>
      <c r="U47" s="1304"/>
      <c r="V47" s="1304"/>
      <c r="W47" s="1304"/>
      <c r="X47" s="1304"/>
      <c r="Y47" s="1304"/>
      <c r="Z47" s="1304"/>
      <c r="AA47" s="1304"/>
      <c r="AB47" s="1304"/>
      <c r="AC47" s="1304"/>
      <c r="AD47" s="1304"/>
      <c r="AE47" s="1304"/>
      <c r="AF47" s="1305"/>
    </row>
    <row r="48" spans="1:36" ht="2.25" customHeight="1">
      <c r="A48" s="1281"/>
      <c r="B48" s="1281"/>
      <c r="C48" s="1271"/>
      <c r="D48" s="1271"/>
      <c r="E48" s="1271"/>
      <c r="F48" s="1271"/>
      <c r="G48" s="1271"/>
      <c r="H48" s="1271"/>
      <c r="I48" s="1271"/>
      <c r="AF48" s="448"/>
    </row>
    <row r="49" spans="1:32" ht="18" customHeight="1">
      <c r="A49" s="1281"/>
      <c r="B49" s="1281"/>
      <c r="C49" s="1271"/>
      <c r="D49" s="1271"/>
      <c r="E49" s="1271"/>
      <c r="F49" s="1271"/>
      <c r="G49" s="1271"/>
      <c r="H49" s="1271"/>
      <c r="I49" s="1271"/>
      <c r="J49" s="410" t="s">
        <v>257</v>
      </c>
      <c r="O49" s="1304"/>
      <c r="P49" s="1304"/>
      <c r="Q49" s="1304"/>
      <c r="R49" s="1304"/>
      <c r="S49" s="1304"/>
      <c r="T49" s="1304"/>
      <c r="U49" s="1304"/>
      <c r="AF49" s="448"/>
    </row>
    <row r="50" spans="1:32" ht="2.25" customHeight="1">
      <c r="A50" s="1281"/>
      <c r="B50" s="1281"/>
      <c r="C50" s="1271"/>
      <c r="D50" s="1271"/>
      <c r="E50" s="1271"/>
      <c r="F50" s="1271"/>
      <c r="G50" s="1271"/>
      <c r="H50" s="1271"/>
      <c r="I50" s="1271"/>
      <c r="AF50" s="448"/>
    </row>
    <row r="51" spans="1:32" ht="18" customHeight="1">
      <c r="A51" s="1281"/>
      <c r="B51" s="1281"/>
      <c r="C51" s="1271"/>
      <c r="D51" s="1271"/>
      <c r="E51" s="1271"/>
      <c r="F51" s="1271"/>
      <c r="G51" s="1271"/>
      <c r="H51" s="1271"/>
      <c r="I51" s="1271"/>
      <c r="J51" s="410" t="s">
        <v>469</v>
      </c>
      <c r="O51" s="1304"/>
      <c r="P51" s="1304"/>
      <c r="Q51" s="1304"/>
      <c r="R51" s="1304"/>
      <c r="S51" s="1304"/>
      <c r="T51" s="1304"/>
      <c r="U51" s="1304"/>
      <c r="V51" s="1304"/>
      <c r="W51" s="1304"/>
      <c r="X51" s="1304"/>
      <c r="Y51" s="1304"/>
      <c r="Z51" s="1304"/>
      <c r="AA51" s="1304"/>
      <c r="AB51" s="1304"/>
      <c r="AC51" s="1304"/>
      <c r="AD51" s="1304"/>
      <c r="AE51" s="1304"/>
      <c r="AF51" s="1305"/>
    </row>
    <row r="52" spans="1:32" ht="2.25" customHeight="1">
      <c r="A52" s="1281"/>
      <c r="B52" s="1281"/>
      <c r="C52" s="1271"/>
      <c r="D52" s="1271"/>
      <c r="E52" s="1271"/>
      <c r="F52" s="1271"/>
      <c r="G52" s="1271"/>
      <c r="H52" s="1271"/>
      <c r="I52" s="1271"/>
      <c r="AF52" s="448"/>
    </row>
    <row r="53" spans="1:32" ht="18" customHeight="1">
      <c r="A53" s="1281"/>
      <c r="B53" s="1281"/>
      <c r="C53" s="1271"/>
      <c r="D53" s="1271"/>
      <c r="E53" s="1271"/>
      <c r="F53" s="1271"/>
      <c r="G53" s="1271"/>
      <c r="H53" s="1271"/>
      <c r="I53" s="1271"/>
      <c r="J53" s="451" t="s">
        <v>264</v>
      </c>
      <c r="K53" s="451"/>
      <c r="L53" s="451"/>
      <c r="M53" s="451"/>
      <c r="N53" s="451"/>
      <c r="O53" s="1294"/>
      <c r="P53" s="1294"/>
      <c r="Q53" s="1294"/>
      <c r="R53" s="1294"/>
      <c r="S53" s="1294"/>
      <c r="T53" s="1294"/>
      <c r="U53" s="1294"/>
      <c r="V53" s="1294"/>
      <c r="W53" s="1294"/>
      <c r="X53" s="1294"/>
      <c r="Y53" s="1294"/>
      <c r="Z53" s="1294"/>
      <c r="AA53" s="1294"/>
      <c r="AB53" s="1294"/>
      <c r="AC53" s="1294"/>
      <c r="AD53" s="1294"/>
      <c r="AE53" s="1294"/>
      <c r="AF53" s="1295"/>
    </row>
    <row r="54" spans="1:32" ht="22.5" customHeight="1">
      <c r="A54" s="1281"/>
      <c r="B54" s="1281"/>
      <c r="C54" s="1271"/>
      <c r="D54" s="1271"/>
      <c r="E54" s="1271"/>
      <c r="F54" s="1271"/>
      <c r="G54" s="1271"/>
      <c r="H54" s="1271" t="s">
        <v>3473</v>
      </c>
      <c r="I54" s="1271"/>
      <c r="J54" s="1293"/>
      <c r="K54" s="1293"/>
      <c r="L54" s="1293"/>
      <c r="M54" s="1293"/>
      <c r="N54" s="1293"/>
      <c r="O54" s="1294"/>
      <c r="P54" s="1294"/>
      <c r="Q54" s="1294"/>
      <c r="R54" s="1294"/>
      <c r="S54" s="1294"/>
      <c r="T54" s="1294"/>
      <c r="U54" s="1294"/>
      <c r="V54" s="1294"/>
      <c r="W54" s="1294"/>
      <c r="X54" s="1294"/>
      <c r="Y54" s="1294"/>
      <c r="Z54" s="1294"/>
      <c r="AA54" s="1294"/>
      <c r="AB54" s="1294"/>
      <c r="AC54" s="1294"/>
      <c r="AD54" s="1294"/>
      <c r="AE54" s="1294"/>
      <c r="AF54" s="1295"/>
    </row>
    <row r="55" spans="1:32" ht="18.95" customHeight="1">
      <c r="A55" s="1281"/>
      <c r="B55" s="1281"/>
      <c r="C55" s="1296" t="s">
        <v>1684</v>
      </c>
      <c r="D55" s="1299"/>
      <c r="E55" s="1300"/>
      <c r="F55" s="1300"/>
      <c r="G55" s="1301"/>
      <c r="H55" s="1271" t="s">
        <v>3471</v>
      </c>
      <c r="I55" s="1271"/>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s="1303"/>
    </row>
    <row r="56" spans="1:32" ht="18.95" customHeight="1">
      <c r="A56" s="1281"/>
      <c r="B56" s="1281"/>
      <c r="C56" s="1297"/>
      <c r="D56" s="1289"/>
      <c r="E56" s="1287"/>
      <c r="F56" s="1287"/>
      <c r="G56" s="1288"/>
      <c r="H56" s="1271"/>
      <c r="I56" s="1271"/>
      <c r="J56" s="1304"/>
      <c r="K56" s="1304"/>
      <c r="L56" s="1304"/>
      <c r="M56" s="1304"/>
      <c r="N56" s="1304"/>
      <c r="O56" s="1304"/>
      <c r="P56" s="1304"/>
      <c r="Q56" s="1304"/>
      <c r="R56" s="1304"/>
      <c r="S56" s="1304"/>
      <c r="T56" s="1304"/>
      <c r="U56" s="1304"/>
      <c r="V56" s="1304"/>
      <c r="W56" s="1304"/>
      <c r="X56" s="1304"/>
      <c r="Y56" s="1304"/>
      <c r="Z56" s="1304"/>
      <c r="AA56" s="1304"/>
      <c r="AB56" s="1304"/>
      <c r="AC56" s="1304"/>
      <c r="AD56" s="1304"/>
      <c r="AE56" s="1304"/>
      <c r="AF56" s="1305"/>
    </row>
    <row r="57" spans="1:32" ht="18.95" customHeight="1">
      <c r="A57" s="1281"/>
      <c r="B57" s="1281"/>
      <c r="C57" s="1297"/>
      <c r="D57" s="1289"/>
      <c r="E57" s="1287"/>
      <c r="F57" s="1287"/>
      <c r="G57" s="1288"/>
      <c r="H57" s="1271"/>
      <c r="I57" s="1271"/>
      <c r="J57" s="1294"/>
      <c r="K57" s="1294"/>
      <c r="L57" s="1294"/>
      <c r="M57" s="1294"/>
      <c r="N57" s="1294"/>
      <c r="O57" s="1294"/>
      <c r="P57" s="1294"/>
      <c r="Q57" s="1294"/>
      <c r="R57" s="1294"/>
      <c r="S57" s="1294"/>
      <c r="T57" s="1294"/>
      <c r="U57" s="1294"/>
      <c r="V57" s="1294"/>
      <c r="W57" s="1294"/>
      <c r="X57" s="1294"/>
      <c r="Y57" s="1294"/>
      <c r="Z57" s="1294"/>
      <c r="AA57" s="1294"/>
      <c r="AB57" s="1294"/>
      <c r="AC57" s="1294"/>
      <c r="AD57" s="1294"/>
      <c r="AE57" s="1294"/>
      <c r="AF57" s="1295"/>
    </row>
    <row r="58" spans="1:32" ht="18.95" customHeight="1">
      <c r="A58" s="1281"/>
      <c r="B58" s="1281"/>
      <c r="C58" s="1297"/>
      <c r="D58" s="1289"/>
      <c r="E58" s="1287"/>
      <c r="F58" s="1287"/>
      <c r="G58" s="1288"/>
      <c r="H58" s="1271" t="s">
        <v>3473</v>
      </c>
      <c r="I58" s="1271"/>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s="1303"/>
    </row>
    <row r="59" spans="1:32" ht="18.95" customHeight="1">
      <c r="A59" s="1281"/>
      <c r="B59" s="1281"/>
      <c r="C59" s="1297"/>
      <c r="D59" s="1289"/>
      <c r="E59" s="1287"/>
      <c r="F59" s="1287"/>
      <c r="G59" s="1288"/>
      <c r="H59" s="1271"/>
      <c r="I59" s="1271"/>
      <c r="J59" s="1304"/>
      <c r="K59" s="1304"/>
      <c r="L59" s="1304"/>
      <c r="M59" s="1304"/>
      <c r="N59" s="1304"/>
      <c r="O59" s="1304"/>
      <c r="P59" s="1304"/>
      <c r="Q59" s="1304"/>
      <c r="R59" s="1304"/>
      <c r="S59" s="1304"/>
      <c r="T59" s="1304"/>
      <c r="U59" s="1304"/>
      <c r="V59" s="1304"/>
      <c r="W59" s="1304"/>
      <c r="X59" s="1304"/>
      <c r="Y59" s="1304"/>
      <c r="Z59" s="1304"/>
      <c r="AA59" s="1304"/>
      <c r="AB59" s="1304"/>
      <c r="AC59" s="1304"/>
      <c r="AD59" s="1304"/>
      <c r="AE59" s="1304"/>
      <c r="AF59" s="1305"/>
    </row>
    <row r="60" spans="1:32" ht="18.95" customHeight="1">
      <c r="A60" s="1296"/>
      <c r="B60" s="1296"/>
      <c r="C60" s="1298"/>
      <c r="D60" s="1290"/>
      <c r="E60" s="1291"/>
      <c r="F60" s="1291"/>
      <c r="G60" s="1292"/>
      <c r="H60" s="1271"/>
      <c r="I60" s="1271"/>
      <c r="J60" s="1294"/>
      <c r="K60" s="1294"/>
      <c r="L60" s="1294"/>
      <c r="M60" s="1294"/>
      <c r="N60" s="1294"/>
      <c r="O60" s="1294"/>
      <c r="P60" s="1294"/>
      <c r="Q60" s="1294"/>
      <c r="R60" s="1294"/>
      <c r="S60" s="1294"/>
      <c r="T60" s="1294"/>
      <c r="U60" s="1294"/>
      <c r="V60" s="1294"/>
      <c r="W60" s="1294"/>
      <c r="X60" s="1294"/>
      <c r="Y60" s="1294"/>
      <c r="Z60" s="1294"/>
      <c r="AA60" s="1294"/>
      <c r="AB60" s="1294"/>
      <c r="AC60" s="1294"/>
      <c r="AD60" s="1294"/>
      <c r="AE60" s="1294"/>
      <c r="AF60" s="1295"/>
    </row>
    <row r="61" spans="1:32" ht="20.100000000000001" customHeight="1">
      <c r="A61" s="1281" t="s">
        <v>3488</v>
      </c>
      <c r="B61" s="1281"/>
      <c r="C61" s="1282" t="s">
        <v>3489</v>
      </c>
      <c r="D61" s="1283"/>
      <c r="E61" s="1284" t="s">
        <v>3490</v>
      </c>
      <c r="F61" s="1284"/>
      <c r="G61" s="1284"/>
      <c r="H61" s="1284"/>
      <c r="I61" s="1284"/>
      <c r="J61" s="1285" t="s">
        <v>3489</v>
      </c>
      <c r="K61" s="1283"/>
      <c r="L61" s="1284" t="s">
        <v>3491</v>
      </c>
      <c r="M61" s="1284"/>
      <c r="N61" s="1284"/>
      <c r="O61" s="1284"/>
      <c r="P61" s="1284"/>
      <c r="Q61" s="1284"/>
      <c r="R61" s="1284"/>
      <c r="S61" s="1284"/>
      <c r="T61" s="1284"/>
      <c r="U61" s="1284"/>
      <c r="V61" s="752"/>
      <c r="W61" s="752"/>
      <c r="X61" s="752"/>
      <c r="Y61" s="752"/>
      <c r="Z61" s="752"/>
      <c r="AA61" s="752"/>
      <c r="AB61" s="752"/>
      <c r="AC61" s="752"/>
      <c r="AD61" s="752"/>
      <c r="AE61" s="752"/>
      <c r="AF61" s="753"/>
    </row>
    <row r="62" spans="1:32">
      <c r="A62" s="1281"/>
      <c r="B62" s="1281"/>
      <c r="C62" s="1286"/>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8"/>
    </row>
    <row r="63" spans="1:32">
      <c r="A63" s="1281"/>
      <c r="B63" s="1281"/>
      <c r="C63" s="1289"/>
      <c r="D63" s="1287"/>
      <c r="E63" s="1287"/>
      <c r="F63" s="1287"/>
      <c r="G63" s="1287"/>
      <c r="H63" s="1287"/>
      <c r="I63" s="1287"/>
      <c r="J63" s="1287"/>
      <c r="K63" s="1287"/>
      <c r="L63" s="1287"/>
      <c r="M63" s="1287"/>
      <c r="N63" s="1287"/>
      <c r="O63" s="1287"/>
      <c r="P63" s="1287"/>
      <c r="Q63" s="1287"/>
      <c r="R63" s="1287"/>
      <c r="S63" s="1287"/>
      <c r="T63" s="1287"/>
      <c r="U63" s="1287"/>
      <c r="V63" s="1287"/>
      <c r="W63" s="1287"/>
      <c r="X63" s="1287"/>
      <c r="Y63" s="1287"/>
      <c r="Z63" s="1287"/>
      <c r="AA63" s="1287"/>
      <c r="AB63" s="1287"/>
      <c r="AC63" s="1287"/>
      <c r="AD63" s="1287"/>
      <c r="AE63" s="1287"/>
      <c r="AF63" s="1288"/>
    </row>
    <row r="64" spans="1:32">
      <c r="A64" s="1281"/>
      <c r="B64" s="1281"/>
      <c r="C64" s="1289"/>
      <c r="D64" s="1287"/>
      <c r="E64" s="1287"/>
      <c r="F64" s="1287"/>
      <c r="G64" s="1287"/>
      <c r="H64" s="1287"/>
      <c r="I64" s="1287"/>
      <c r="J64" s="1287"/>
      <c r="K64" s="1287"/>
      <c r="L64" s="1287"/>
      <c r="M64" s="1287"/>
      <c r="N64" s="1287"/>
      <c r="O64" s="1287"/>
      <c r="P64" s="1287"/>
      <c r="Q64" s="1287"/>
      <c r="R64" s="1287"/>
      <c r="S64" s="1287"/>
      <c r="T64" s="1287"/>
      <c r="U64" s="1287"/>
      <c r="V64" s="1287"/>
      <c r="W64" s="1287"/>
      <c r="X64" s="1287"/>
      <c r="Y64" s="1287"/>
      <c r="Z64" s="1287"/>
      <c r="AA64" s="1287"/>
      <c r="AB64" s="1287"/>
      <c r="AC64" s="1287"/>
      <c r="AD64" s="1287"/>
      <c r="AE64" s="1287"/>
      <c r="AF64" s="1288"/>
    </row>
    <row r="65" spans="1:32">
      <c r="A65" s="1281"/>
      <c r="B65" s="1281"/>
      <c r="C65" s="1290"/>
      <c r="D65" s="1291"/>
      <c r="E65" s="1291"/>
      <c r="F65" s="1291"/>
      <c r="G65" s="1291"/>
      <c r="H65" s="1291"/>
      <c r="I65" s="1291"/>
      <c r="J65" s="1291"/>
      <c r="K65" s="1291"/>
      <c r="L65" s="1291"/>
      <c r="M65" s="1291"/>
      <c r="N65" s="1291"/>
      <c r="O65" s="1291"/>
      <c r="P65" s="1291"/>
      <c r="Q65" s="1291"/>
      <c r="R65" s="1291"/>
      <c r="S65" s="1291"/>
      <c r="T65" s="1291"/>
      <c r="U65" s="1291"/>
      <c r="V65" s="1291"/>
      <c r="W65" s="1291"/>
      <c r="X65" s="1291"/>
      <c r="Y65" s="1291"/>
      <c r="Z65" s="1291"/>
      <c r="AA65" s="1291"/>
      <c r="AB65" s="1291"/>
      <c r="AC65" s="1291"/>
      <c r="AD65" s="1291"/>
      <c r="AE65" s="1291"/>
      <c r="AF65" s="1292"/>
    </row>
    <row r="66" spans="1:32">
      <c r="A66" s="1271" t="s">
        <v>3492</v>
      </c>
      <c r="B66" s="1271"/>
      <c r="C66" s="1271"/>
      <c r="D66" s="1271"/>
      <c r="E66" s="1271"/>
      <c r="F66" s="1271"/>
      <c r="G66" s="1228" t="s">
        <v>3493</v>
      </c>
      <c r="H66" s="1229"/>
      <c r="I66" s="1229"/>
      <c r="J66" s="1229"/>
      <c r="K66" s="1229"/>
      <c r="L66" s="1229"/>
      <c r="M66" s="1229"/>
      <c r="N66" s="1229"/>
      <c r="O66" s="1229"/>
      <c r="P66" s="1229"/>
      <c r="Q66" s="1229"/>
      <c r="R66" s="1229"/>
      <c r="S66" s="1229"/>
      <c r="T66" s="1272"/>
      <c r="U66" s="1272"/>
      <c r="V66" s="1272"/>
      <c r="W66" s="1272"/>
      <c r="X66" s="1272"/>
      <c r="Y66" s="1273"/>
      <c r="Z66" s="1271" t="s">
        <v>3494</v>
      </c>
      <c r="AA66" s="1271"/>
      <c r="AB66" s="1271"/>
      <c r="AC66" s="1271"/>
      <c r="AD66" s="1271"/>
      <c r="AE66" s="1271"/>
      <c r="AF66" s="1271"/>
    </row>
    <row r="67" spans="1:32">
      <c r="A67" s="1271"/>
      <c r="B67" s="1271"/>
      <c r="C67" s="1271"/>
      <c r="D67" s="1271"/>
      <c r="E67" s="1271"/>
      <c r="F67" s="1271"/>
      <c r="G67" s="1254"/>
      <c r="H67" s="1274"/>
      <c r="I67" s="1274"/>
      <c r="J67" s="1274"/>
      <c r="K67" s="1274"/>
      <c r="L67" s="1274"/>
      <c r="M67" s="1255"/>
      <c r="N67" s="1255"/>
      <c r="O67" s="1255"/>
      <c r="P67" s="1255"/>
      <c r="Q67" s="1255"/>
      <c r="R67" s="1255"/>
      <c r="S67" s="1255"/>
      <c r="T67" s="1255"/>
      <c r="U67" s="1255"/>
      <c r="V67" s="1255"/>
      <c r="W67" s="1255"/>
      <c r="X67" s="1255"/>
      <c r="Y67" s="1256"/>
      <c r="Z67" s="1271"/>
      <c r="AA67" s="1271"/>
      <c r="AB67" s="1271"/>
      <c r="AC67" s="1271"/>
      <c r="AD67" s="1271"/>
      <c r="AE67" s="1271"/>
      <c r="AF67" s="1271"/>
    </row>
    <row r="68" spans="1:32">
      <c r="A68" s="1271"/>
      <c r="B68" s="1271"/>
      <c r="C68" s="1271"/>
      <c r="D68" s="1271"/>
      <c r="E68" s="1271"/>
      <c r="F68" s="1271"/>
      <c r="G68" s="1275"/>
      <c r="H68" s="1276"/>
      <c r="I68" s="1276"/>
      <c r="J68" s="1276"/>
      <c r="K68" s="1276"/>
      <c r="L68" s="1276"/>
      <c r="M68" s="1276"/>
      <c r="N68" s="1276"/>
      <c r="O68" s="1276"/>
      <c r="P68" s="1276"/>
      <c r="Q68" s="1276"/>
      <c r="R68" s="1276"/>
      <c r="S68" s="1276"/>
      <c r="T68" s="1276"/>
      <c r="U68" s="1276"/>
      <c r="V68" s="1276"/>
      <c r="W68" s="1276"/>
      <c r="X68" s="1276"/>
      <c r="Y68" s="1277"/>
      <c r="Z68" s="1271"/>
      <c r="AA68" s="1271"/>
      <c r="AB68" s="1271"/>
      <c r="AC68" s="1271"/>
      <c r="AD68" s="1271"/>
      <c r="AE68" s="1271"/>
      <c r="AF68" s="1271"/>
    </row>
    <row r="69" spans="1:32">
      <c r="A69" s="1271"/>
      <c r="B69" s="1271"/>
      <c r="C69" s="1271"/>
      <c r="D69" s="1271"/>
      <c r="E69" s="1271"/>
      <c r="F69" s="1271"/>
      <c r="G69" s="1275"/>
      <c r="H69" s="1276"/>
      <c r="I69" s="1276"/>
      <c r="J69" s="1276"/>
      <c r="K69" s="1276"/>
      <c r="L69" s="1276"/>
      <c r="M69" s="1276"/>
      <c r="N69" s="1276"/>
      <c r="O69" s="1276"/>
      <c r="P69" s="1276"/>
      <c r="Q69" s="1276"/>
      <c r="R69" s="1276"/>
      <c r="S69" s="1276"/>
      <c r="T69" s="1276"/>
      <c r="U69" s="1276"/>
      <c r="V69" s="1276"/>
      <c r="W69" s="1276"/>
      <c r="X69" s="1276"/>
      <c r="Y69" s="1277"/>
      <c r="Z69" s="1271"/>
      <c r="AA69" s="1271"/>
      <c r="AB69" s="1271"/>
      <c r="AC69" s="1271"/>
      <c r="AD69" s="1271"/>
      <c r="AE69" s="1271"/>
      <c r="AF69" s="1271"/>
    </row>
    <row r="70" spans="1:32">
      <c r="A70" s="1271"/>
      <c r="B70" s="1271"/>
      <c r="C70" s="1271"/>
      <c r="D70" s="1271"/>
      <c r="E70" s="1271"/>
      <c r="F70" s="1271"/>
      <c r="G70" s="1275"/>
      <c r="H70" s="1276"/>
      <c r="I70" s="1276"/>
      <c r="J70" s="1276"/>
      <c r="K70" s="1276"/>
      <c r="L70" s="1276"/>
      <c r="M70" s="1276"/>
      <c r="N70" s="1276"/>
      <c r="O70" s="1276"/>
      <c r="P70" s="1276"/>
      <c r="Q70" s="1276"/>
      <c r="R70" s="1276"/>
      <c r="S70" s="1276"/>
      <c r="T70" s="1276"/>
      <c r="U70" s="1276"/>
      <c r="V70" s="1276"/>
      <c r="W70" s="1276"/>
      <c r="X70" s="1276"/>
      <c r="Y70" s="1277"/>
      <c r="Z70" s="1271"/>
      <c r="AA70" s="1271"/>
      <c r="AB70" s="1271"/>
      <c r="AC70" s="1271"/>
      <c r="AD70" s="1271"/>
      <c r="AE70" s="1271"/>
      <c r="AF70" s="1271"/>
    </row>
    <row r="71" spans="1:32">
      <c r="A71" s="1271"/>
      <c r="B71" s="1271"/>
      <c r="C71" s="1271"/>
      <c r="D71" s="1271"/>
      <c r="E71" s="1271"/>
      <c r="F71" s="1271"/>
      <c r="G71" s="1275"/>
      <c r="H71" s="1276"/>
      <c r="I71" s="1276"/>
      <c r="J71" s="1276"/>
      <c r="K71" s="1276"/>
      <c r="L71" s="1276"/>
      <c r="M71" s="1276"/>
      <c r="N71" s="1276"/>
      <c r="O71" s="1276"/>
      <c r="P71" s="1276"/>
      <c r="Q71" s="1276"/>
      <c r="R71" s="1276"/>
      <c r="S71" s="1276"/>
      <c r="T71" s="1276"/>
      <c r="U71" s="1276"/>
      <c r="V71" s="1276"/>
      <c r="W71" s="1276"/>
      <c r="X71" s="1276"/>
      <c r="Y71" s="1277"/>
      <c r="Z71" s="1271"/>
      <c r="AA71" s="1271"/>
      <c r="AB71" s="1271"/>
      <c r="AC71" s="1271"/>
      <c r="AD71" s="1271"/>
      <c r="AE71" s="1271"/>
      <c r="AF71" s="1271"/>
    </row>
    <row r="72" spans="1:32">
      <c r="A72" s="1271"/>
      <c r="B72" s="1271"/>
      <c r="C72" s="1271"/>
      <c r="D72" s="1271"/>
      <c r="E72" s="1271"/>
      <c r="F72" s="1271"/>
      <c r="G72" s="1278"/>
      <c r="H72" s="1279"/>
      <c r="I72" s="1279"/>
      <c r="J72" s="1279"/>
      <c r="K72" s="1279"/>
      <c r="L72" s="1279"/>
      <c r="M72" s="1279"/>
      <c r="N72" s="1279"/>
      <c r="O72" s="1279"/>
      <c r="P72" s="1279"/>
      <c r="Q72" s="1279"/>
      <c r="R72" s="1279"/>
      <c r="S72" s="1279"/>
      <c r="T72" s="1279"/>
      <c r="U72" s="1279"/>
      <c r="V72" s="1279"/>
      <c r="W72" s="1279"/>
      <c r="X72" s="1279"/>
      <c r="Y72" s="1280"/>
      <c r="Z72" s="1271"/>
      <c r="AA72" s="1271"/>
      <c r="AB72" s="1271"/>
      <c r="AC72" s="1271"/>
      <c r="AD72" s="1271"/>
      <c r="AE72" s="1271"/>
      <c r="AF72" s="1271"/>
    </row>
    <row r="73" spans="1:32">
      <c r="A73" s="1270" t="s">
        <v>2</v>
      </c>
      <c r="B73" s="1261"/>
      <c r="C73" s="410">
        <v>1</v>
      </c>
      <c r="D73" s="410" t="s">
        <v>3437</v>
      </c>
    </row>
    <row r="74" spans="1:32">
      <c r="B74" s="441"/>
      <c r="C74" s="410">
        <v>2</v>
      </c>
      <c r="D74" s="410" t="s">
        <v>3495</v>
      </c>
    </row>
    <row r="81" ht="2.25" customHeight="1"/>
  </sheetData>
  <sheetProtection selectLockedCells="1"/>
  <mergeCells count="79">
    <mergeCell ref="T9:AF9"/>
    <mergeCell ref="H2:AF2"/>
    <mergeCell ref="A4:AF4"/>
    <mergeCell ref="W5:AF5"/>
    <mergeCell ref="N7:O8"/>
    <mergeCell ref="P7:Q8"/>
    <mergeCell ref="R7:AE8"/>
    <mergeCell ref="R10:AD10"/>
    <mergeCell ref="A12:AF12"/>
    <mergeCell ref="A13:G14"/>
    <mergeCell ref="H13:I14"/>
    <mergeCell ref="J13:M14"/>
    <mergeCell ref="N13:R14"/>
    <mergeCell ref="S13:V14"/>
    <mergeCell ref="W13:W14"/>
    <mergeCell ref="X13:AF14"/>
    <mergeCell ref="A15:G17"/>
    <mergeCell ref="H15:AF17"/>
    <mergeCell ref="A18:G18"/>
    <mergeCell ref="H18:X18"/>
    <mergeCell ref="Y18:AB18"/>
    <mergeCell ref="AC18:AF18"/>
    <mergeCell ref="A19:B60"/>
    <mergeCell ref="C19:G28"/>
    <mergeCell ref="H19:I27"/>
    <mergeCell ref="O19:AF19"/>
    <mergeCell ref="O21:AF21"/>
    <mergeCell ref="O23:U23"/>
    <mergeCell ref="O25:AF25"/>
    <mergeCell ref="O27:AF27"/>
    <mergeCell ref="H28:I28"/>
    <mergeCell ref="J28:AF28"/>
    <mergeCell ref="H42:I42"/>
    <mergeCell ref="J42:AF42"/>
    <mergeCell ref="C29:G42"/>
    <mergeCell ref="H29:I41"/>
    <mergeCell ref="P29:R29"/>
    <mergeCell ref="V29:X29"/>
    <mergeCell ref="AB29:AE29"/>
    <mergeCell ref="O31:AF31"/>
    <mergeCell ref="O33:P33"/>
    <mergeCell ref="U33:V33"/>
    <mergeCell ref="Z33:AA33"/>
    <mergeCell ref="AC33:AE33"/>
    <mergeCell ref="O51:AF51"/>
    <mergeCell ref="O53:AF53"/>
    <mergeCell ref="O35:AF35"/>
    <mergeCell ref="O37:U37"/>
    <mergeCell ref="O39:AF39"/>
    <mergeCell ref="O41:AF41"/>
    <mergeCell ref="H54:I54"/>
    <mergeCell ref="J54:AF54"/>
    <mergeCell ref="C55:C60"/>
    <mergeCell ref="D55:G60"/>
    <mergeCell ref="H55:I57"/>
    <mergeCell ref="J55:AF57"/>
    <mergeCell ref="H58:I60"/>
    <mergeCell ref="J58:AF60"/>
    <mergeCell ref="C43:G54"/>
    <mergeCell ref="H43:I53"/>
    <mergeCell ref="O43:AF43"/>
    <mergeCell ref="S45:U45"/>
    <mergeCell ref="W45:Z45"/>
    <mergeCell ref="AB45:AE45"/>
    <mergeCell ref="O47:AF47"/>
    <mergeCell ref="O49:U49"/>
    <mergeCell ref="A61:B65"/>
    <mergeCell ref="C61:D61"/>
    <mergeCell ref="E61:I61"/>
    <mergeCell ref="J61:K61"/>
    <mergeCell ref="L61:U61"/>
    <mergeCell ref="C62:AF65"/>
    <mergeCell ref="A73:B73"/>
    <mergeCell ref="A66:F66"/>
    <mergeCell ref="G66:Y66"/>
    <mergeCell ref="Z66:AF66"/>
    <mergeCell ref="A67:F72"/>
    <mergeCell ref="G67:Y72"/>
    <mergeCell ref="Z67:AF72"/>
  </mergeCells>
  <phoneticPr fontId="116"/>
  <dataValidations count="9">
    <dataValidation type="list" allowBlank="1" showInputMessage="1" showErrorMessage="1" sqref="C61 C65597 C131133 C196669 C262205 C327741 C393277 C458813 C524349 C589885 C655421 C720957 C786493 C852029 C917565 C983101 J61 J65597 J131133 J196669 J262205 J327741 J393277 J458813 J524349 J589885 J655421 J720957 J786493 J852029 J917565 J983101 IY61 IY65597 IY131133 IY196669 IY262205 IY327741 IY393277 IY458813 IY524349 IY589885 IY655421 IY720957 IY786493 IY852029 IY917565 IY983101 JF61 JF65597 JF131133 JF196669 JF262205 JF327741 JF393277 JF458813 JF524349 JF589885 JF655421 JF720957 JF786493 JF852029 JF917565 JF983101 SU61 SU65597 SU131133 SU196669 SU262205 SU327741 SU393277 SU458813 SU524349 SU589885 SU655421 SU720957 SU786493 SU852029 SU917565 SU983101 TB61 TB65597 TB131133 TB196669 TB262205 TB327741 TB393277 TB458813 TB524349 TB589885 TB655421 TB720957 TB786493 TB852029 TB917565 TB983101 ACQ61 ACQ65597 ACQ131133 ACQ196669 ACQ262205 ACQ327741 ACQ393277 ACQ458813 ACQ524349 ACQ589885 ACQ655421 ACQ720957 ACQ786493 ACQ852029 ACQ917565 ACQ983101 ACX61 ACX65597 ACX131133 ACX196669 ACX262205 ACX327741 ACX393277 ACX458813 ACX524349 ACX589885 ACX655421 ACX720957 ACX786493 ACX852029 ACX917565 ACX983101 AMM61 AMM65597 AMM131133 AMM196669 AMM262205 AMM327741 AMM393277 AMM458813 AMM524349 AMM589885 AMM655421 AMM720957 AMM786493 AMM852029 AMM917565 AMM983101 AMT61 AMT65597 AMT131133 AMT196669 AMT262205 AMT327741 AMT393277 AMT458813 AMT524349 AMT589885 AMT655421 AMT720957 AMT786493 AMT852029 AMT917565 AMT983101 AWI61 AWI65597 AWI131133 AWI196669 AWI262205 AWI327741 AWI393277 AWI458813 AWI524349 AWI589885 AWI655421 AWI720957 AWI786493 AWI852029 AWI917565 AWI983101 AWP61 AWP65597 AWP131133 AWP196669 AWP262205 AWP327741 AWP393277 AWP458813 AWP524349 AWP589885 AWP655421 AWP720957 AWP786493 AWP852029 AWP917565 AWP983101 BGE61 BGE65597 BGE131133 BGE196669 BGE262205 BGE327741 BGE393277 BGE458813 BGE524349 BGE589885 BGE655421 BGE720957 BGE786493 BGE852029 BGE917565 BGE983101 BGL61 BGL65597 BGL131133 BGL196669 BGL262205 BGL327741 BGL393277 BGL458813 BGL524349 BGL589885 BGL655421 BGL720957 BGL786493 BGL852029 BGL917565 BGL983101 BQA61 BQA65597 BQA131133 BQA196669 BQA262205 BQA327741 BQA393277 BQA458813 BQA524349 BQA589885 BQA655421 BQA720957 BQA786493 BQA852029 BQA917565 BQA983101 BQH61 BQH65597 BQH131133 BQH196669 BQH262205 BQH327741 BQH393277 BQH458813 BQH524349 BQH589885 BQH655421 BQH720957 BQH786493 BQH852029 BQH917565 BQH983101 BZW61 BZW65597 BZW131133 BZW196669 BZW262205 BZW327741 BZW393277 BZW458813 BZW524349 BZW589885 BZW655421 BZW720957 BZW786493 BZW852029 BZW917565 BZW983101 CAD61 CAD65597 CAD131133 CAD196669 CAD262205 CAD327741 CAD393277 CAD458813 CAD524349 CAD589885 CAD655421 CAD720957 CAD786493 CAD852029 CAD917565 CAD983101 CJS61 CJS65597 CJS131133 CJS196669 CJS262205 CJS327741 CJS393277 CJS458813 CJS524349 CJS589885 CJS655421 CJS720957 CJS786493 CJS852029 CJS917565 CJS983101 CJZ61 CJZ65597 CJZ131133 CJZ196669 CJZ262205 CJZ327741 CJZ393277 CJZ458813 CJZ524349 CJZ589885 CJZ655421 CJZ720957 CJZ786493 CJZ852029 CJZ917565 CJZ983101 CTO61 CTO65597 CTO131133 CTO196669 CTO262205 CTO327741 CTO393277 CTO458813 CTO524349 CTO589885 CTO655421 CTO720957 CTO786493 CTO852029 CTO917565 CTO983101 CTV61 CTV65597 CTV131133 CTV196669 CTV262205 CTV327741 CTV393277 CTV458813 CTV524349 CTV589885 CTV655421 CTV720957 CTV786493 CTV852029 CTV917565 CTV983101 DDK61 DDK65597 DDK131133 DDK196669 DDK262205 DDK327741 DDK393277 DDK458813 DDK524349 DDK589885 DDK655421 DDK720957 DDK786493 DDK852029 DDK917565 DDK983101 DDR61 DDR65597 DDR131133 DDR196669 DDR262205 DDR327741 DDR393277 DDR458813 DDR524349 DDR589885 DDR655421 DDR720957 DDR786493 DDR852029 DDR917565 DDR983101 DNG61 DNG65597 DNG131133 DNG196669 DNG262205 DNG327741 DNG393277 DNG458813 DNG524349 DNG589885 DNG655421 DNG720957 DNG786493 DNG852029 DNG917565 DNG983101 DNN61 DNN65597 DNN131133 DNN196669 DNN262205 DNN327741 DNN393277 DNN458813 DNN524349 DNN589885 DNN655421 DNN720957 DNN786493 DNN852029 DNN917565 DNN983101 DXC61 DXC65597 DXC131133 DXC196669 DXC262205 DXC327741 DXC393277 DXC458813 DXC524349 DXC589885 DXC655421 DXC720957 DXC786493 DXC852029 DXC917565 DXC983101 DXJ61 DXJ65597 DXJ131133 DXJ196669 DXJ262205 DXJ327741 DXJ393277 DXJ458813 DXJ524349 DXJ589885 DXJ655421 DXJ720957 DXJ786493 DXJ852029 DXJ917565 DXJ983101 EGY61 EGY65597 EGY131133 EGY196669 EGY262205 EGY327741 EGY393277 EGY458813 EGY524349 EGY589885 EGY655421 EGY720957 EGY786493 EGY852029 EGY917565 EGY983101 EHF61 EHF65597 EHF131133 EHF196669 EHF262205 EHF327741 EHF393277 EHF458813 EHF524349 EHF589885 EHF655421 EHF720957 EHF786493 EHF852029 EHF917565 EHF983101 EQU61 EQU65597 EQU131133 EQU196669 EQU262205 EQU327741 EQU393277 EQU458813 EQU524349 EQU589885 EQU655421 EQU720957 EQU786493 EQU852029 EQU917565 EQU983101 ERB61 ERB65597 ERB131133 ERB196669 ERB262205 ERB327741 ERB393277 ERB458813 ERB524349 ERB589885 ERB655421 ERB720957 ERB786493 ERB852029 ERB917565 ERB983101 FAQ61 FAQ65597 FAQ131133 FAQ196669 FAQ262205 FAQ327741 FAQ393277 FAQ458813 FAQ524349 FAQ589885 FAQ655421 FAQ720957 FAQ786493 FAQ852029 FAQ917565 FAQ983101 FAX61 FAX65597 FAX131133 FAX196669 FAX262205 FAX327741 FAX393277 FAX458813 FAX524349 FAX589885 FAX655421 FAX720957 FAX786493 FAX852029 FAX917565 FAX983101 FKM61 FKM65597 FKM131133 FKM196669 FKM262205 FKM327741 FKM393277 FKM458813 FKM524349 FKM589885 FKM655421 FKM720957 FKM786493 FKM852029 FKM917565 FKM983101 FKT61 FKT65597 FKT131133 FKT196669 FKT262205 FKT327741 FKT393277 FKT458813 FKT524349 FKT589885 FKT655421 FKT720957 FKT786493 FKT852029 FKT917565 FKT983101 FUI61 FUI65597 FUI131133 FUI196669 FUI262205 FUI327741 FUI393277 FUI458813 FUI524349 FUI589885 FUI655421 FUI720957 FUI786493 FUI852029 FUI917565 FUI983101 FUP61 FUP65597 FUP131133 FUP196669 FUP262205 FUP327741 FUP393277 FUP458813 FUP524349 FUP589885 FUP655421 FUP720957 FUP786493 FUP852029 FUP917565 FUP983101 GEE61 GEE65597 GEE131133 GEE196669 GEE262205 GEE327741 GEE393277 GEE458813 GEE524349 GEE589885 GEE655421 GEE720957 GEE786493 GEE852029 GEE917565 GEE983101 GEL61 GEL65597 GEL131133 GEL196669 GEL262205 GEL327741 GEL393277 GEL458813 GEL524349 GEL589885 GEL655421 GEL720957 GEL786493 GEL852029 GEL917565 GEL983101 GOA61 GOA65597 GOA131133 GOA196669 GOA262205 GOA327741 GOA393277 GOA458813 GOA524349 GOA589885 GOA655421 GOA720957 GOA786493 GOA852029 GOA917565 GOA983101 GOH61 GOH65597 GOH131133 GOH196669 GOH262205 GOH327741 GOH393277 GOH458813 GOH524349 GOH589885 GOH655421 GOH720957 GOH786493 GOH852029 GOH917565 GOH983101 GXW61 GXW65597 GXW131133 GXW196669 GXW262205 GXW327741 GXW393277 GXW458813 GXW524349 GXW589885 GXW655421 GXW720957 GXW786493 GXW852029 GXW917565 GXW983101 GYD61 GYD65597 GYD131133 GYD196669 GYD262205 GYD327741 GYD393277 GYD458813 GYD524349 GYD589885 GYD655421 GYD720957 GYD786493 GYD852029 GYD917565 GYD983101 HHS61 HHS65597 HHS131133 HHS196669 HHS262205 HHS327741 HHS393277 HHS458813 HHS524349 HHS589885 HHS655421 HHS720957 HHS786493 HHS852029 HHS917565 HHS983101 HHZ61 HHZ65597 HHZ131133 HHZ196669 HHZ262205 HHZ327741 HHZ393277 HHZ458813 HHZ524349 HHZ589885 HHZ655421 HHZ720957 HHZ786493 HHZ852029 HHZ917565 HHZ983101 HRO61 HRO65597 HRO131133 HRO196669 HRO262205 HRO327741 HRO393277 HRO458813 HRO524349 HRO589885 HRO655421 HRO720957 HRO786493 HRO852029 HRO917565 HRO983101 HRV61 HRV65597 HRV131133 HRV196669 HRV262205 HRV327741 HRV393277 HRV458813 HRV524349 HRV589885 HRV655421 HRV720957 HRV786493 HRV852029 HRV917565 HRV983101 IBK61 IBK65597 IBK131133 IBK196669 IBK262205 IBK327741 IBK393277 IBK458813 IBK524349 IBK589885 IBK655421 IBK720957 IBK786493 IBK852029 IBK917565 IBK983101 IBR61 IBR65597 IBR131133 IBR196669 IBR262205 IBR327741 IBR393277 IBR458813 IBR524349 IBR589885 IBR655421 IBR720957 IBR786493 IBR852029 IBR917565 IBR983101 ILG61 ILG65597 ILG131133 ILG196669 ILG262205 ILG327741 ILG393277 ILG458813 ILG524349 ILG589885 ILG655421 ILG720957 ILG786493 ILG852029 ILG917565 ILG983101 ILN61 ILN65597 ILN131133 ILN196669 ILN262205 ILN327741 ILN393277 ILN458813 ILN524349 ILN589885 ILN655421 ILN720957 ILN786493 ILN852029 ILN917565 ILN983101 IVC61 IVC65597 IVC131133 IVC196669 IVC262205 IVC327741 IVC393277 IVC458813 IVC524349 IVC589885 IVC655421 IVC720957 IVC786493 IVC852029 IVC917565 IVC983101 IVJ61 IVJ65597 IVJ131133 IVJ196669 IVJ262205 IVJ327741 IVJ393277 IVJ458813 IVJ524349 IVJ589885 IVJ655421 IVJ720957 IVJ786493 IVJ852029 IVJ917565 IVJ983101 JEY61 JEY65597 JEY131133 JEY196669 JEY262205 JEY327741 JEY393277 JEY458813 JEY524349 JEY589885 JEY655421 JEY720957 JEY786493 JEY852029 JEY917565 JEY983101 JFF61 JFF65597 JFF131133 JFF196669 JFF262205 JFF327741 JFF393277 JFF458813 JFF524349 JFF589885 JFF655421 JFF720957 JFF786493 JFF852029 JFF917565 JFF983101 JOU61 JOU65597 JOU131133 JOU196669 JOU262205 JOU327741 JOU393277 JOU458813 JOU524349 JOU589885 JOU655421 JOU720957 JOU786493 JOU852029 JOU917565 JOU983101 JPB61 JPB65597 JPB131133 JPB196669 JPB262205 JPB327741 JPB393277 JPB458813 JPB524349 JPB589885 JPB655421 JPB720957 JPB786493 JPB852029 JPB917565 JPB983101 JYQ61 JYQ65597 JYQ131133 JYQ196669 JYQ262205 JYQ327741 JYQ393277 JYQ458813 JYQ524349 JYQ589885 JYQ655421 JYQ720957 JYQ786493 JYQ852029 JYQ917565 JYQ983101 JYX61 JYX65597 JYX131133 JYX196669 JYX262205 JYX327741 JYX393277 JYX458813 JYX524349 JYX589885 JYX655421 JYX720957 JYX786493 JYX852029 JYX917565 JYX983101 KIM61 KIM65597 KIM131133 KIM196669 KIM262205 KIM327741 KIM393277 KIM458813 KIM524349 KIM589885 KIM655421 KIM720957 KIM786493 KIM852029 KIM917565 KIM983101 KIT61 KIT65597 KIT131133 KIT196669 KIT262205 KIT327741 KIT393277 KIT458813 KIT524349 KIT589885 KIT655421 KIT720957 KIT786493 KIT852029 KIT917565 KIT983101 KSI61 KSI65597 KSI131133 KSI196669 KSI262205 KSI327741 KSI393277 KSI458813 KSI524349 KSI589885 KSI655421 KSI720957 KSI786493 KSI852029 KSI917565 KSI983101 KSP61 KSP65597 KSP131133 KSP196669 KSP262205 KSP327741 KSP393277 KSP458813 KSP524349 KSP589885 KSP655421 KSP720957 KSP786493 KSP852029 KSP917565 KSP983101 LCE61 LCE65597 LCE131133 LCE196669 LCE262205 LCE327741 LCE393277 LCE458813 LCE524349 LCE589885 LCE655421 LCE720957 LCE786493 LCE852029 LCE917565 LCE983101 LCL61 LCL65597 LCL131133 LCL196669 LCL262205 LCL327741 LCL393277 LCL458813 LCL524349 LCL589885 LCL655421 LCL720957 LCL786493 LCL852029 LCL917565 LCL983101 LMA61 LMA65597 LMA131133 LMA196669 LMA262205 LMA327741 LMA393277 LMA458813 LMA524349 LMA589885 LMA655421 LMA720957 LMA786493 LMA852029 LMA917565 LMA983101 LMH61 LMH65597 LMH131133 LMH196669 LMH262205 LMH327741 LMH393277 LMH458813 LMH524349 LMH589885 LMH655421 LMH720957 LMH786493 LMH852029 LMH917565 LMH983101 LVW61 LVW65597 LVW131133 LVW196669 LVW262205 LVW327741 LVW393277 LVW458813 LVW524349 LVW589885 LVW655421 LVW720957 LVW786493 LVW852029 LVW917565 LVW983101 LWD61 LWD65597 LWD131133 LWD196669 LWD262205 LWD327741 LWD393277 LWD458813 LWD524349 LWD589885 LWD655421 LWD720957 LWD786493 LWD852029 LWD917565 LWD983101 MFS61 MFS65597 MFS131133 MFS196669 MFS262205 MFS327741 MFS393277 MFS458813 MFS524349 MFS589885 MFS655421 MFS720957 MFS786493 MFS852029 MFS917565 MFS983101 MFZ61 MFZ65597 MFZ131133 MFZ196669 MFZ262205 MFZ327741 MFZ393277 MFZ458813 MFZ524349 MFZ589885 MFZ655421 MFZ720957 MFZ786493 MFZ852029 MFZ917565 MFZ983101 MPO61 MPO65597 MPO131133 MPO196669 MPO262205 MPO327741 MPO393277 MPO458813 MPO524349 MPO589885 MPO655421 MPO720957 MPO786493 MPO852029 MPO917565 MPO983101 MPV61 MPV65597 MPV131133 MPV196669 MPV262205 MPV327741 MPV393277 MPV458813 MPV524349 MPV589885 MPV655421 MPV720957 MPV786493 MPV852029 MPV917565 MPV983101 MZK61 MZK65597 MZK131133 MZK196669 MZK262205 MZK327741 MZK393277 MZK458813 MZK524349 MZK589885 MZK655421 MZK720957 MZK786493 MZK852029 MZK917565 MZK983101 MZR61 MZR65597 MZR131133 MZR196669 MZR262205 MZR327741 MZR393277 MZR458813 MZR524349 MZR589885 MZR655421 MZR720957 MZR786493 MZR852029 MZR917565 MZR983101 NJG61 NJG65597 NJG131133 NJG196669 NJG262205 NJG327741 NJG393277 NJG458813 NJG524349 NJG589885 NJG655421 NJG720957 NJG786493 NJG852029 NJG917565 NJG983101 NJN61 NJN65597 NJN131133 NJN196669 NJN262205 NJN327741 NJN393277 NJN458813 NJN524349 NJN589885 NJN655421 NJN720957 NJN786493 NJN852029 NJN917565 NJN983101 NTC61 NTC65597 NTC131133 NTC196669 NTC262205 NTC327741 NTC393277 NTC458813 NTC524349 NTC589885 NTC655421 NTC720957 NTC786493 NTC852029 NTC917565 NTC983101 NTJ61 NTJ65597 NTJ131133 NTJ196669 NTJ262205 NTJ327741 NTJ393277 NTJ458813 NTJ524349 NTJ589885 NTJ655421 NTJ720957 NTJ786493 NTJ852029 NTJ917565 NTJ983101 OCY61 OCY65597 OCY131133 OCY196669 OCY262205 OCY327741 OCY393277 OCY458813 OCY524349 OCY589885 OCY655421 OCY720957 OCY786493 OCY852029 OCY917565 OCY983101 ODF61 ODF65597 ODF131133 ODF196669 ODF262205 ODF327741 ODF393277 ODF458813 ODF524349 ODF589885 ODF655421 ODF720957 ODF786493 ODF852029 ODF917565 ODF983101 OMU61 OMU65597 OMU131133 OMU196669 OMU262205 OMU327741 OMU393277 OMU458813 OMU524349 OMU589885 OMU655421 OMU720957 OMU786493 OMU852029 OMU917565 OMU983101 ONB61 ONB65597 ONB131133 ONB196669 ONB262205 ONB327741 ONB393277 ONB458813 ONB524349 ONB589885 ONB655421 ONB720957 ONB786493 ONB852029 ONB917565 ONB983101 OWQ61 OWQ65597 OWQ131133 OWQ196669 OWQ262205 OWQ327741 OWQ393277 OWQ458813 OWQ524349 OWQ589885 OWQ655421 OWQ720957 OWQ786493 OWQ852029 OWQ917565 OWQ983101 OWX61 OWX65597 OWX131133 OWX196669 OWX262205 OWX327741 OWX393277 OWX458813 OWX524349 OWX589885 OWX655421 OWX720957 OWX786493 OWX852029 OWX917565 OWX983101 PGM61 PGM65597 PGM131133 PGM196669 PGM262205 PGM327741 PGM393277 PGM458813 PGM524349 PGM589885 PGM655421 PGM720957 PGM786493 PGM852029 PGM917565 PGM983101 PGT61 PGT65597 PGT131133 PGT196669 PGT262205 PGT327741 PGT393277 PGT458813 PGT524349 PGT589885 PGT655421 PGT720957 PGT786493 PGT852029 PGT917565 PGT983101 PQI61 PQI65597 PQI131133 PQI196669 PQI262205 PQI327741 PQI393277 PQI458813 PQI524349 PQI589885 PQI655421 PQI720957 PQI786493 PQI852029 PQI917565 PQI983101 PQP61 PQP65597 PQP131133 PQP196669 PQP262205 PQP327741 PQP393277 PQP458813 PQP524349 PQP589885 PQP655421 PQP720957 PQP786493 PQP852029 PQP917565 PQP983101 QAE61 QAE65597 QAE131133 QAE196669 QAE262205 QAE327741 QAE393277 QAE458813 QAE524349 QAE589885 QAE655421 QAE720957 QAE786493 QAE852029 QAE917565 QAE983101 QAL61 QAL65597 QAL131133 QAL196669 QAL262205 QAL327741 QAL393277 QAL458813 QAL524349 QAL589885 QAL655421 QAL720957 QAL786493 QAL852029 QAL917565 QAL983101 QKA61 QKA65597 QKA131133 QKA196669 QKA262205 QKA327741 QKA393277 QKA458813 QKA524349 QKA589885 QKA655421 QKA720957 QKA786493 QKA852029 QKA917565 QKA983101 QKH61 QKH65597 QKH131133 QKH196669 QKH262205 QKH327741 QKH393277 QKH458813 QKH524349 QKH589885 QKH655421 QKH720957 QKH786493 QKH852029 QKH917565 QKH983101 QTW61 QTW65597 QTW131133 QTW196669 QTW262205 QTW327741 QTW393277 QTW458813 QTW524349 QTW589885 QTW655421 QTW720957 QTW786493 QTW852029 QTW917565 QTW983101 QUD61 QUD65597 QUD131133 QUD196669 QUD262205 QUD327741 QUD393277 QUD458813 QUD524349 QUD589885 QUD655421 QUD720957 QUD786493 QUD852029 QUD917565 QUD983101 RDS61 RDS65597 RDS131133 RDS196669 RDS262205 RDS327741 RDS393277 RDS458813 RDS524349 RDS589885 RDS655421 RDS720957 RDS786493 RDS852029 RDS917565 RDS983101 RDZ61 RDZ65597 RDZ131133 RDZ196669 RDZ262205 RDZ327741 RDZ393277 RDZ458813 RDZ524349 RDZ589885 RDZ655421 RDZ720957 RDZ786493 RDZ852029 RDZ917565 RDZ983101 RNO61 RNO65597 RNO131133 RNO196669 RNO262205 RNO327741 RNO393277 RNO458813 RNO524349 RNO589885 RNO655421 RNO720957 RNO786493 RNO852029 RNO917565 RNO983101 RNV61 RNV65597 RNV131133 RNV196669 RNV262205 RNV327741 RNV393277 RNV458813 RNV524349 RNV589885 RNV655421 RNV720957 RNV786493 RNV852029 RNV917565 RNV983101 RXK61 RXK65597 RXK131133 RXK196669 RXK262205 RXK327741 RXK393277 RXK458813 RXK524349 RXK589885 RXK655421 RXK720957 RXK786493 RXK852029 RXK917565 RXK983101 RXR61 RXR65597 RXR131133 RXR196669 RXR262205 RXR327741 RXR393277 RXR458813 RXR524349 RXR589885 RXR655421 RXR720957 RXR786493 RXR852029 RXR917565 RXR983101 SHG61 SHG65597 SHG131133 SHG196669 SHG262205 SHG327741 SHG393277 SHG458813 SHG524349 SHG589885 SHG655421 SHG720957 SHG786493 SHG852029 SHG917565 SHG983101 SHN61 SHN65597 SHN131133 SHN196669 SHN262205 SHN327741 SHN393277 SHN458813 SHN524349 SHN589885 SHN655421 SHN720957 SHN786493 SHN852029 SHN917565 SHN983101 SRC61 SRC65597 SRC131133 SRC196669 SRC262205 SRC327741 SRC393277 SRC458813 SRC524349 SRC589885 SRC655421 SRC720957 SRC786493 SRC852029 SRC917565 SRC983101 SRJ61 SRJ65597 SRJ131133 SRJ196669 SRJ262205 SRJ327741 SRJ393277 SRJ458813 SRJ524349 SRJ589885 SRJ655421 SRJ720957 SRJ786493 SRJ852029 SRJ917565 SRJ983101 TAY61 TAY65597 TAY131133 TAY196669 TAY262205 TAY327741 TAY393277 TAY458813 TAY524349 TAY589885 TAY655421 TAY720957 TAY786493 TAY852029 TAY917565 TAY983101 TBF61 TBF65597 TBF131133 TBF196669 TBF262205 TBF327741 TBF393277 TBF458813 TBF524349 TBF589885 TBF655421 TBF720957 TBF786493 TBF852029 TBF917565 TBF983101 TKU61 TKU65597 TKU131133 TKU196669 TKU262205 TKU327741 TKU393277 TKU458813 TKU524349 TKU589885 TKU655421 TKU720957 TKU786493 TKU852029 TKU917565 TKU983101 TLB61 TLB65597 TLB131133 TLB196669 TLB262205 TLB327741 TLB393277 TLB458813 TLB524349 TLB589885 TLB655421 TLB720957 TLB786493 TLB852029 TLB917565 TLB983101 TUQ61 TUQ65597 TUQ131133 TUQ196669 TUQ262205 TUQ327741 TUQ393277 TUQ458813 TUQ524349 TUQ589885 TUQ655421 TUQ720957 TUQ786493 TUQ852029 TUQ917565 TUQ983101 TUX61 TUX65597 TUX131133 TUX196669 TUX262205 TUX327741 TUX393277 TUX458813 TUX524349 TUX589885 TUX655421 TUX720957 TUX786493 TUX852029 TUX917565 TUX983101 UEM61 UEM65597 UEM131133 UEM196669 UEM262205 UEM327741 UEM393277 UEM458813 UEM524349 UEM589885 UEM655421 UEM720957 UEM786493 UEM852029 UEM917565 UEM983101 UET61 UET65597 UET131133 UET196669 UET262205 UET327741 UET393277 UET458813 UET524349 UET589885 UET655421 UET720957 UET786493 UET852029 UET917565 UET983101 UOI61 UOI65597 UOI131133 UOI196669 UOI262205 UOI327741 UOI393277 UOI458813 UOI524349 UOI589885 UOI655421 UOI720957 UOI786493 UOI852029 UOI917565 UOI983101 UOP61 UOP65597 UOP131133 UOP196669 UOP262205 UOP327741 UOP393277 UOP458813 UOP524349 UOP589885 UOP655421 UOP720957 UOP786493 UOP852029 UOP917565 UOP983101 UYE61 UYE65597 UYE131133 UYE196669 UYE262205 UYE327741 UYE393277 UYE458813 UYE524349 UYE589885 UYE655421 UYE720957 UYE786493 UYE852029 UYE917565 UYE983101 UYL61 UYL65597 UYL131133 UYL196669 UYL262205 UYL327741 UYL393277 UYL458813 UYL524349 UYL589885 UYL655421 UYL720957 UYL786493 UYL852029 UYL917565 UYL983101 VIA61 VIA65597 VIA131133 VIA196669 VIA262205 VIA327741 VIA393277 VIA458813 VIA524349 VIA589885 VIA655421 VIA720957 VIA786493 VIA852029 VIA917565 VIA983101 VIH61 VIH65597 VIH131133 VIH196669 VIH262205 VIH327741 VIH393277 VIH458813 VIH524349 VIH589885 VIH655421 VIH720957 VIH786493 VIH852029 VIH917565 VIH983101 VRW61 VRW65597 VRW131133 VRW196669 VRW262205 VRW327741 VRW393277 VRW458813 VRW524349 VRW589885 VRW655421 VRW720957 VRW786493 VRW852029 VRW917565 VRW983101 VSD61 VSD65597 VSD131133 VSD196669 VSD262205 VSD327741 VSD393277 VSD458813 VSD524349 VSD589885 VSD655421 VSD720957 VSD786493 VSD852029 VSD917565 VSD983101 WBS61 WBS65597 WBS131133 WBS196669 WBS262205 WBS327741 WBS393277 WBS458813 WBS524349 WBS589885 WBS655421 WBS720957 WBS786493 WBS852029 WBS917565 WBS983101 WBZ61 WBZ65597 WBZ131133 WBZ196669 WBZ262205 WBZ327741 WBZ393277 WBZ458813 WBZ524349 WBZ589885 WBZ655421 WBZ720957 WBZ786493 WBZ852029 WBZ917565 WBZ983101 WLO61 WLO65597 WLO131133 WLO196669 WLO262205 WLO327741 WLO393277 WLO458813 WLO524349 WLO589885 WLO655421 WLO720957 WLO786493 WLO852029 WLO917565 WLO983101 WLV61 WLV65597 WLV131133 WLV196669 WLV262205 WLV327741 WLV393277 WLV458813 WLV524349 WLV589885 WLV655421 WLV720957 WLV786493 WLV852029 WLV917565 WLV983101 WVK61 WVK65597 WVK131133 WVK196669 WVK262205 WVK327741 WVK393277 WVK458813 WVK524349 WVK589885 WVK655421 WVK720957 WVK786493 WVK852029 WVK917565 WVK983101 WVR61 WVR65597 WVR131133 WVR196669 WVR262205 WVR327741 WVR393277 WVR458813 WVR524349 WVR589885 WVR655421 WVR720957 WVR786493 WVR852029 WVR917565 WVR983101" xr:uid="{00000000-0002-0000-1400-000000000000}">
      <formula1>"☐,☑"</formula1>
    </dataValidation>
    <dataValidation type="list" allowBlank="1" showInputMessage="1" showErrorMessage="1" sqref="Z33:AA33 Z65569:AA65569 Z131105:AA131105 Z196641:AA196641 Z262177:AA262177 Z327713:AA327713 Z393249:AA393249 Z458785:AA458785 Z524321:AA524321 Z589857:AA589857 Z655393:AA655393 Z720929:AA720929 Z786465:AA786465 Z852001:AA852001 Z917537:AA917537 Z983073:AA983073 JV33:JW33 JV65569:JW65569 JV131105:JW131105 JV196641:JW196641 JV262177:JW262177 JV327713:JW327713 JV393249:JW393249 JV458785:JW458785 JV524321:JW524321 JV589857:JW589857 JV655393:JW655393 JV720929:JW720929 JV786465:JW786465 JV852001:JW852001 JV917537:JW917537 JV983073:JW983073 TR33:TS33 TR65569:TS65569 TR131105:TS131105 TR196641:TS196641 TR262177:TS262177 TR327713:TS327713 TR393249:TS393249 TR458785:TS458785 TR524321:TS524321 TR589857:TS589857 TR655393:TS655393 TR720929:TS720929 TR786465:TS786465 TR852001:TS852001 TR917537:TS917537 TR983073:TS983073 ADN33:ADO33 ADN65569:ADO65569 ADN131105:ADO131105 ADN196641:ADO196641 ADN262177:ADO262177 ADN327713:ADO327713 ADN393249:ADO393249 ADN458785:ADO458785 ADN524321:ADO524321 ADN589857:ADO589857 ADN655393:ADO655393 ADN720929:ADO720929 ADN786465:ADO786465 ADN852001:ADO852001 ADN917537:ADO917537 ADN983073:ADO983073 ANJ33:ANK33 ANJ65569:ANK65569 ANJ131105:ANK131105 ANJ196641:ANK196641 ANJ262177:ANK262177 ANJ327713:ANK327713 ANJ393249:ANK393249 ANJ458785:ANK458785 ANJ524321:ANK524321 ANJ589857:ANK589857 ANJ655393:ANK655393 ANJ720929:ANK720929 ANJ786465:ANK786465 ANJ852001:ANK852001 ANJ917537:ANK917537 ANJ983073:ANK983073 AXF33:AXG33 AXF65569:AXG65569 AXF131105:AXG131105 AXF196641:AXG196641 AXF262177:AXG262177 AXF327713:AXG327713 AXF393249:AXG393249 AXF458785:AXG458785 AXF524321:AXG524321 AXF589857:AXG589857 AXF655393:AXG655393 AXF720929:AXG720929 AXF786465:AXG786465 AXF852001:AXG852001 AXF917537:AXG917537 AXF983073:AXG983073 BHB33:BHC33 BHB65569:BHC65569 BHB131105:BHC131105 BHB196641:BHC196641 BHB262177:BHC262177 BHB327713:BHC327713 BHB393249:BHC393249 BHB458785:BHC458785 BHB524321:BHC524321 BHB589857:BHC589857 BHB655393:BHC655393 BHB720929:BHC720929 BHB786465:BHC786465 BHB852001:BHC852001 BHB917537:BHC917537 BHB983073:BHC983073 BQX33:BQY33 BQX65569:BQY65569 BQX131105:BQY131105 BQX196641:BQY196641 BQX262177:BQY262177 BQX327713:BQY327713 BQX393249:BQY393249 BQX458785:BQY458785 BQX524321:BQY524321 BQX589857:BQY589857 BQX655393:BQY655393 BQX720929:BQY720929 BQX786465:BQY786465 BQX852001:BQY852001 BQX917537:BQY917537 BQX983073:BQY983073 CAT33:CAU33 CAT65569:CAU65569 CAT131105:CAU131105 CAT196641:CAU196641 CAT262177:CAU262177 CAT327713:CAU327713 CAT393249:CAU393249 CAT458785:CAU458785 CAT524321:CAU524321 CAT589857:CAU589857 CAT655393:CAU655393 CAT720929:CAU720929 CAT786465:CAU786465 CAT852001:CAU852001 CAT917537:CAU917537 CAT983073:CAU983073 CKP33:CKQ33 CKP65569:CKQ65569 CKP131105:CKQ131105 CKP196641:CKQ196641 CKP262177:CKQ262177 CKP327713:CKQ327713 CKP393249:CKQ393249 CKP458785:CKQ458785 CKP524321:CKQ524321 CKP589857:CKQ589857 CKP655393:CKQ655393 CKP720929:CKQ720929 CKP786465:CKQ786465 CKP852001:CKQ852001 CKP917537:CKQ917537 CKP983073:CKQ983073 CUL33:CUM33 CUL65569:CUM65569 CUL131105:CUM131105 CUL196641:CUM196641 CUL262177:CUM262177 CUL327713:CUM327713 CUL393249:CUM393249 CUL458785:CUM458785 CUL524321:CUM524321 CUL589857:CUM589857 CUL655393:CUM655393 CUL720929:CUM720929 CUL786465:CUM786465 CUL852001:CUM852001 CUL917537:CUM917537 CUL983073:CUM983073 DEH33:DEI33 DEH65569:DEI65569 DEH131105:DEI131105 DEH196641:DEI196641 DEH262177:DEI262177 DEH327713:DEI327713 DEH393249:DEI393249 DEH458785:DEI458785 DEH524321:DEI524321 DEH589857:DEI589857 DEH655393:DEI655393 DEH720929:DEI720929 DEH786465:DEI786465 DEH852001:DEI852001 DEH917537:DEI917537 DEH983073:DEI983073 DOD33:DOE33 DOD65569:DOE65569 DOD131105:DOE131105 DOD196641:DOE196641 DOD262177:DOE262177 DOD327713:DOE327713 DOD393249:DOE393249 DOD458785:DOE458785 DOD524321:DOE524321 DOD589857:DOE589857 DOD655393:DOE655393 DOD720929:DOE720929 DOD786465:DOE786465 DOD852001:DOE852001 DOD917537:DOE917537 DOD983073:DOE983073 DXZ33:DYA33 DXZ65569:DYA65569 DXZ131105:DYA131105 DXZ196641:DYA196641 DXZ262177:DYA262177 DXZ327713:DYA327713 DXZ393249:DYA393249 DXZ458785:DYA458785 DXZ524321:DYA524321 DXZ589857:DYA589857 DXZ655393:DYA655393 DXZ720929:DYA720929 DXZ786465:DYA786465 DXZ852001:DYA852001 DXZ917537:DYA917537 DXZ983073:DYA983073 EHV33:EHW33 EHV65569:EHW65569 EHV131105:EHW131105 EHV196641:EHW196641 EHV262177:EHW262177 EHV327713:EHW327713 EHV393249:EHW393249 EHV458785:EHW458785 EHV524321:EHW524321 EHV589857:EHW589857 EHV655393:EHW655393 EHV720929:EHW720929 EHV786465:EHW786465 EHV852001:EHW852001 EHV917537:EHW917537 EHV983073:EHW983073 ERR33:ERS33 ERR65569:ERS65569 ERR131105:ERS131105 ERR196641:ERS196641 ERR262177:ERS262177 ERR327713:ERS327713 ERR393249:ERS393249 ERR458785:ERS458785 ERR524321:ERS524321 ERR589857:ERS589857 ERR655393:ERS655393 ERR720929:ERS720929 ERR786465:ERS786465 ERR852001:ERS852001 ERR917537:ERS917537 ERR983073:ERS983073 FBN33:FBO33 FBN65569:FBO65569 FBN131105:FBO131105 FBN196641:FBO196641 FBN262177:FBO262177 FBN327713:FBO327713 FBN393249:FBO393249 FBN458785:FBO458785 FBN524321:FBO524321 FBN589857:FBO589857 FBN655393:FBO655393 FBN720929:FBO720929 FBN786465:FBO786465 FBN852001:FBO852001 FBN917537:FBO917537 FBN983073:FBO983073 FLJ33:FLK33 FLJ65569:FLK65569 FLJ131105:FLK131105 FLJ196641:FLK196641 FLJ262177:FLK262177 FLJ327713:FLK327713 FLJ393249:FLK393249 FLJ458785:FLK458785 FLJ524321:FLK524321 FLJ589857:FLK589857 FLJ655393:FLK655393 FLJ720929:FLK720929 FLJ786465:FLK786465 FLJ852001:FLK852001 FLJ917537:FLK917537 FLJ983073:FLK983073 FVF33:FVG33 FVF65569:FVG65569 FVF131105:FVG131105 FVF196641:FVG196641 FVF262177:FVG262177 FVF327713:FVG327713 FVF393249:FVG393249 FVF458785:FVG458785 FVF524321:FVG524321 FVF589857:FVG589857 FVF655393:FVG655393 FVF720929:FVG720929 FVF786465:FVG786465 FVF852001:FVG852001 FVF917537:FVG917537 FVF983073:FVG983073 GFB33:GFC33 GFB65569:GFC65569 GFB131105:GFC131105 GFB196641:GFC196641 GFB262177:GFC262177 GFB327713:GFC327713 GFB393249:GFC393249 GFB458785:GFC458785 GFB524321:GFC524321 GFB589857:GFC589857 GFB655393:GFC655393 GFB720929:GFC720929 GFB786465:GFC786465 GFB852001:GFC852001 GFB917537:GFC917537 GFB983073:GFC983073 GOX33:GOY33 GOX65569:GOY65569 GOX131105:GOY131105 GOX196641:GOY196641 GOX262177:GOY262177 GOX327713:GOY327713 GOX393249:GOY393249 GOX458785:GOY458785 GOX524321:GOY524321 GOX589857:GOY589857 GOX655393:GOY655393 GOX720929:GOY720929 GOX786465:GOY786465 GOX852001:GOY852001 GOX917537:GOY917537 GOX983073:GOY983073 GYT33:GYU33 GYT65569:GYU65569 GYT131105:GYU131105 GYT196641:GYU196641 GYT262177:GYU262177 GYT327713:GYU327713 GYT393249:GYU393249 GYT458785:GYU458785 GYT524321:GYU524321 GYT589857:GYU589857 GYT655393:GYU655393 GYT720929:GYU720929 GYT786465:GYU786465 GYT852001:GYU852001 GYT917537:GYU917537 GYT983073:GYU983073 HIP33:HIQ33 HIP65569:HIQ65569 HIP131105:HIQ131105 HIP196641:HIQ196641 HIP262177:HIQ262177 HIP327713:HIQ327713 HIP393249:HIQ393249 HIP458785:HIQ458785 HIP524321:HIQ524321 HIP589857:HIQ589857 HIP655393:HIQ655393 HIP720929:HIQ720929 HIP786465:HIQ786465 HIP852001:HIQ852001 HIP917537:HIQ917537 HIP983073:HIQ983073 HSL33:HSM33 HSL65569:HSM65569 HSL131105:HSM131105 HSL196641:HSM196641 HSL262177:HSM262177 HSL327713:HSM327713 HSL393249:HSM393249 HSL458785:HSM458785 HSL524321:HSM524321 HSL589857:HSM589857 HSL655393:HSM655393 HSL720929:HSM720929 HSL786465:HSM786465 HSL852001:HSM852001 HSL917537:HSM917537 HSL983073:HSM983073 ICH33:ICI33 ICH65569:ICI65569 ICH131105:ICI131105 ICH196641:ICI196641 ICH262177:ICI262177 ICH327713:ICI327713 ICH393249:ICI393249 ICH458785:ICI458785 ICH524321:ICI524321 ICH589857:ICI589857 ICH655393:ICI655393 ICH720929:ICI720929 ICH786465:ICI786465 ICH852001:ICI852001 ICH917537:ICI917537 ICH983073:ICI983073 IMD33:IME33 IMD65569:IME65569 IMD131105:IME131105 IMD196641:IME196641 IMD262177:IME262177 IMD327713:IME327713 IMD393249:IME393249 IMD458785:IME458785 IMD524321:IME524321 IMD589857:IME589857 IMD655393:IME655393 IMD720929:IME720929 IMD786465:IME786465 IMD852001:IME852001 IMD917537:IME917537 IMD983073:IME983073 IVZ33:IWA33 IVZ65569:IWA65569 IVZ131105:IWA131105 IVZ196641:IWA196641 IVZ262177:IWA262177 IVZ327713:IWA327713 IVZ393249:IWA393249 IVZ458785:IWA458785 IVZ524321:IWA524321 IVZ589857:IWA589857 IVZ655393:IWA655393 IVZ720929:IWA720929 IVZ786465:IWA786465 IVZ852001:IWA852001 IVZ917537:IWA917537 IVZ983073:IWA983073 JFV33:JFW33 JFV65569:JFW65569 JFV131105:JFW131105 JFV196641:JFW196641 JFV262177:JFW262177 JFV327713:JFW327713 JFV393249:JFW393249 JFV458785:JFW458785 JFV524321:JFW524321 JFV589857:JFW589857 JFV655393:JFW655393 JFV720929:JFW720929 JFV786465:JFW786465 JFV852001:JFW852001 JFV917537:JFW917537 JFV983073:JFW983073 JPR33:JPS33 JPR65569:JPS65569 JPR131105:JPS131105 JPR196641:JPS196641 JPR262177:JPS262177 JPR327713:JPS327713 JPR393249:JPS393249 JPR458785:JPS458785 JPR524321:JPS524321 JPR589857:JPS589857 JPR655393:JPS655393 JPR720929:JPS720929 JPR786465:JPS786465 JPR852001:JPS852001 JPR917537:JPS917537 JPR983073:JPS983073 JZN33:JZO33 JZN65569:JZO65569 JZN131105:JZO131105 JZN196641:JZO196641 JZN262177:JZO262177 JZN327713:JZO327713 JZN393249:JZO393249 JZN458785:JZO458785 JZN524321:JZO524321 JZN589857:JZO589857 JZN655393:JZO655393 JZN720929:JZO720929 JZN786465:JZO786465 JZN852001:JZO852001 JZN917537:JZO917537 JZN983073:JZO983073 KJJ33:KJK33 KJJ65569:KJK65569 KJJ131105:KJK131105 KJJ196641:KJK196641 KJJ262177:KJK262177 KJJ327713:KJK327713 KJJ393249:KJK393249 KJJ458785:KJK458785 KJJ524321:KJK524321 KJJ589857:KJK589857 KJJ655393:KJK655393 KJJ720929:KJK720929 KJJ786465:KJK786465 KJJ852001:KJK852001 KJJ917537:KJK917537 KJJ983073:KJK983073 KTF33:KTG33 KTF65569:KTG65569 KTF131105:KTG131105 KTF196641:KTG196641 KTF262177:KTG262177 KTF327713:KTG327713 KTF393249:KTG393249 KTF458785:KTG458785 KTF524321:KTG524321 KTF589857:KTG589857 KTF655393:KTG655393 KTF720929:KTG720929 KTF786465:KTG786465 KTF852001:KTG852001 KTF917537:KTG917537 KTF983073:KTG983073 LDB33:LDC33 LDB65569:LDC65569 LDB131105:LDC131105 LDB196641:LDC196641 LDB262177:LDC262177 LDB327713:LDC327713 LDB393249:LDC393249 LDB458785:LDC458785 LDB524321:LDC524321 LDB589857:LDC589857 LDB655393:LDC655393 LDB720929:LDC720929 LDB786465:LDC786465 LDB852001:LDC852001 LDB917537:LDC917537 LDB983073:LDC983073 LMX33:LMY33 LMX65569:LMY65569 LMX131105:LMY131105 LMX196641:LMY196641 LMX262177:LMY262177 LMX327713:LMY327713 LMX393249:LMY393249 LMX458785:LMY458785 LMX524321:LMY524321 LMX589857:LMY589857 LMX655393:LMY655393 LMX720929:LMY720929 LMX786465:LMY786465 LMX852001:LMY852001 LMX917537:LMY917537 LMX983073:LMY983073 LWT33:LWU33 LWT65569:LWU65569 LWT131105:LWU131105 LWT196641:LWU196641 LWT262177:LWU262177 LWT327713:LWU327713 LWT393249:LWU393249 LWT458785:LWU458785 LWT524321:LWU524321 LWT589857:LWU589857 LWT655393:LWU655393 LWT720929:LWU720929 LWT786465:LWU786465 LWT852001:LWU852001 LWT917537:LWU917537 LWT983073:LWU983073 MGP33:MGQ33 MGP65569:MGQ65569 MGP131105:MGQ131105 MGP196641:MGQ196641 MGP262177:MGQ262177 MGP327713:MGQ327713 MGP393249:MGQ393249 MGP458785:MGQ458785 MGP524321:MGQ524321 MGP589857:MGQ589857 MGP655393:MGQ655393 MGP720929:MGQ720929 MGP786465:MGQ786465 MGP852001:MGQ852001 MGP917537:MGQ917537 MGP983073:MGQ983073 MQL33:MQM33 MQL65569:MQM65569 MQL131105:MQM131105 MQL196641:MQM196641 MQL262177:MQM262177 MQL327713:MQM327713 MQL393249:MQM393249 MQL458785:MQM458785 MQL524321:MQM524321 MQL589857:MQM589857 MQL655393:MQM655393 MQL720929:MQM720929 MQL786465:MQM786465 MQL852001:MQM852001 MQL917537:MQM917537 MQL983073:MQM983073 NAH33:NAI33 NAH65569:NAI65569 NAH131105:NAI131105 NAH196641:NAI196641 NAH262177:NAI262177 NAH327713:NAI327713 NAH393249:NAI393249 NAH458785:NAI458785 NAH524321:NAI524321 NAH589857:NAI589857 NAH655393:NAI655393 NAH720929:NAI720929 NAH786465:NAI786465 NAH852001:NAI852001 NAH917537:NAI917537 NAH983073:NAI983073 NKD33:NKE33 NKD65569:NKE65569 NKD131105:NKE131105 NKD196641:NKE196641 NKD262177:NKE262177 NKD327713:NKE327713 NKD393249:NKE393249 NKD458785:NKE458785 NKD524321:NKE524321 NKD589857:NKE589857 NKD655393:NKE655393 NKD720929:NKE720929 NKD786465:NKE786465 NKD852001:NKE852001 NKD917537:NKE917537 NKD983073:NKE983073 NTZ33:NUA33 NTZ65569:NUA65569 NTZ131105:NUA131105 NTZ196641:NUA196641 NTZ262177:NUA262177 NTZ327713:NUA327713 NTZ393249:NUA393249 NTZ458785:NUA458785 NTZ524321:NUA524321 NTZ589857:NUA589857 NTZ655393:NUA655393 NTZ720929:NUA720929 NTZ786465:NUA786465 NTZ852001:NUA852001 NTZ917537:NUA917537 NTZ983073:NUA983073 ODV33:ODW33 ODV65569:ODW65569 ODV131105:ODW131105 ODV196641:ODW196641 ODV262177:ODW262177 ODV327713:ODW327713 ODV393249:ODW393249 ODV458785:ODW458785 ODV524321:ODW524321 ODV589857:ODW589857 ODV655393:ODW655393 ODV720929:ODW720929 ODV786465:ODW786465 ODV852001:ODW852001 ODV917537:ODW917537 ODV983073:ODW983073 ONR33:ONS33 ONR65569:ONS65569 ONR131105:ONS131105 ONR196641:ONS196641 ONR262177:ONS262177 ONR327713:ONS327713 ONR393249:ONS393249 ONR458785:ONS458785 ONR524321:ONS524321 ONR589857:ONS589857 ONR655393:ONS655393 ONR720929:ONS720929 ONR786465:ONS786465 ONR852001:ONS852001 ONR917537:ONS917537 ONR983073:ONS983073 OXN33:OXO33 OXN65569:OXO65569 OXN131105:OXO131105 OXN196641:OXO196641 OXN262177:OXO262177 OXN327713:OXO327713 OXN393249:OXO393249 OXN458785:OXO458785 OXN524321:OXO524321 OXN589857:OXO589857 OXN655393:OXO655393 OXN720929:OXO720929 OXN786465:OXO786465 OXN852001:OXO852001 OXN917537:OXO917537 OXN983073:OXO983073 PHJ33:PHK33 PHJ65569:PHK65569 PHJ131105:PHK131105 PHJ196641:PHK196641 PHJ262177:PHK262177 PHJ327713:PHK327713 PHJ393249:PHK393249 PHJ458785:PHK458785 PHJ524321:PHK524321 PHJ589857:PHK589857 PHJ655393:PHK655393 PHJ720929:PHK720929 PHJ786465:PHK786465 PHJ852001:PHK852001 PHJ917537:PHK917537 PHJ983073:PHK983073 PRF33:PRG33 PRF65569:PRG65569 PRF131105:PRG131105 PRF196641:PRG196641 PRF262177:PRG262177 PRF327713:PRG327713 PRF393249:PRG393249 PRF458785:PRG458785 PRF524321:PRG524321 PRF589857:PRG589857 PRF655393:PRG655393 PRF720929:PRG720929 PRF786465:PRG786465 PRF852001:PRG852001 PRF917537:PRG917537 PRF983073:PRG983073 QBB33:QBC33 QBB65569:QBC65569 QBB131105:QBC131105 QBB196641:QBC196641 QBB262177:QBC262177 QBB327713:QBC327713 QBB393249:QBC393249 QBB458785:QBC458785 QBB524321:QBC524321 QBB589857:QBC589857 QBB655393:QBC655393 QBB720929:QBC720929 QBB786465:QBC786465 QBB852001:QBC852001 QBB917537:QBC917537 QBB983073:QBC983073 QKX33:QKY33 QKX65569:QKY65569 QKX131105:QKY131105 QKX196641:QKY196641 QKX262177:QKY262177 QKX327713:QKY327713 QKX393249:QKY393249 QKX458785:QKY458785 QKX524321:QKY524321 QKX589857:QKY589857 QKX655393:QKY655393 QKX720929:QKY720929 QKX786465:QKY786465 QKX852001:QKY852001 QKX917537:QKY917537 QKX983073:QKY983073 QUT33:QUU33 QUT65569:QUU65569 QUT131105:QUU131105 QUT196641:QUU196641 QUT262177:QUU262177 QUT327713:QUU327713 QUT393249:QUU393249 QUT458785:QUU458785 QUT524321:QUU524321 QUT589857:QUU589857 QUT655393:QUU655393 QUT720929:QUU720929 QUT786465:QUU786465 QUT852001:QUU852001 QUT917537:QUU917537 QUT983073:QUU983073 REP33:REQ33 REP65569:REQ65569 REP131105:REQ131105 REP196641:REQ196641 REP262177:REQ262177 REP327713:REQ327713 REP393249:REQ393249 REP458785:REQ458785 REP524321:REQ524321 REP589857:REQ589857 REP655393:REQ655393 REP720929:REQ720929 REP786465:REQ786465 REP852001:REQ852001 REP917537:REQ917537 REP983073:REQ983073 ROL33:ROM33 ROL65569:ROM65569 ROL131105:ROM131105 ROL196641:ROM196641 ROL262177:ROM262177 ROL327713:ROM327713 ROL393249:ROM393249 ROL458785:ROM458785 ROL524321:ROM524321 ROL589857:ROM589857 ROL655393:ROM655393 ROL720929:ROM720929 ROL786465:ROM786465 ROL852001:ROM852001 ROL917537:ROM917537 ROL983073:ROM983073 RYH33:RYI33 RYH65569:RYI65569 RYH131105:RYI131105 RYH196641:RYI196641 RYH262177:RYI262177 RYH327713:RYI327713 RYH393249:RYI393249 RYH458785:RYI458785 RYH524321:RYI524321 RYH589857:RYI589857 RYH655393:RYI655393 RYH720929:RYI720929 RYH786465:RYI786465 RYH852001:RYI852001 RYH917537:RYI917537 RYH983073:RYI983073 SID33:SIE33 SID65569:SIE65569 SID131105:SIE131105 SID196641:SIE196641 SID262177:SIE262177 SID327713:SIE327713 SID393249:SIE393249 SID458785:SIE458785 SID524321:SIE524321 SID589857:SIE589857 SID655393:SIE655393 SID720929:SIE720929 SID786465:SIE786465 SID852001:SIE852001 SID917537:SIE917537 SID983073:SIE983073 SRZ33:SSA33 SRZ65569:SSA65569 SRZ131105:SSA131105 SRZ196641:SSA196641 SRZ262177:SSA262177 SRZ327713:SSA327713 SRZ393249:SSA393249 SRZ458785:SSA458785 SRZ524321:SSA524321 SRZ589857:SSA589857 SRZ655393:SSA655393 SRZ720929:SSA720929 SRZ786465:SSA786465 SRZ852001:SSA852001 SRZ917537:SSA917537 SRZ983073:SSA983073 TBV33:TBW33 TBV65569:TBW65569 TBV131105:TBW131105 TBV196641:TBW196641 TBV262177:TBW262177 TBV327713:TBW327713 TBV393249:TBW393249 TBV458785:TBW458785 TBV524321:TBW524321 TBV589857:TBW589857 TBV655393:TBW655393 TBV720929:TBW720929 TBV786465:TBW786465 TBV852001:TBW852001 TBV917537:TBW917537 TBV983073:TBW983073 TLR33:TLS33 TLR65569:TLS65569 TLR131105:TLS131105 TLR196641:TLS196641 TLR262177:TLS262177 TLR327713:TLS327713 TLR393249:TLS393249 TLR458785:TLS458785 TLR524321:TLS524321 TLR589857:TLS589857 TLR655393:TLS655393 TLR720929:TLS720929 TLR786465:TLS786465 TLR852001:TLS852001 TLR917537:TLS917537 TLR983073:TLS983073 TVN33:TVO33 TVN65569:TVO65569 TVN131105:TVO131105 TVN196641:TVO196641 TVN262177:TVO262177 TVN327713:TVO327713 TVN393249:TVO393249 TVN458785:TVO458785 TVN524321:TVO524321 TVN589857:TVO589857 TVN655393:TVO655393 TVN720929:TVO720929 TVN786465:TVO786465 TVN852001:TVO852001 TVN917537:TVO917537 TVN983073:TVO983073 UFJ33:UFK33 UFJ65569:UFK65569 UFJ131105:UFK131105 UFJ196641:UFK196641 UFJ262177:UFK262177 UFJ327713:UFK327713 UFJ393249:UFK393249 UFJ458785:UFK458785 UFJ524321:UFK524321 UFJ589857:UFK589857 UFJ655393:UFK655393 UFJ720929:UFK720929 UFJ786465:UFK786465 UFJ852001:UFK852001 UFJ917537:UFK917537 UFJ983073:UFK983073 UPF33:UPG33 UPF65569:UPG65569 UPF131105:UPG131105 UPF196641:UPG196641 UPF262177:UPG262177 UPF327713:UPG327713 UPF393249:UPG393249 UPF458785:UPG458785 UPF524321:UPG524321 UPF589857:UPG589857 UPF655393:UPG655393 UPF720929:UPG720929 UPF786465:UPG786465 UPF852001:UPG852001 UPF917537:UPG917537 UPF983073:UPG983073 UZB33:UZC33 UZB65569:UZC65569 UZB131105:UZC131105 UZB196641:UZC196641 UZB262177:UZC262177 UZB327713:UZC327713 UZB393249:UZC393249 UZB458785:UZC458785 UZB524321:UZC524321 UZB589857:UZC589857 UZB655393:UZC655393 UZB720929:UZC720929 UZB786465:UZC786465 UZB852001:UZC852001 UZB917537:UZC917537 UZB983073:UZC983073 VIX33:VIY33 VIX65569:VIY65569 VIX131105:VIY131105 VIX196641:VIY196641 VIX262177:VIY262177 VIX327713:VIY327713 VIX393249:VIY393249 VIX458785:VIY458785 VIX524321:VIY524321 VIX589857:VIY589857 VIX655393:VIY655393 VIX720929:VIY720929 VIX786465:VIY786465 VIX852001:VIY852001 VIX917537:VIY917537 VIX983073:VIY983073 VST33:VSU33 VST65569:VSU65569 VST131105:VSU131105 VST196641:VSU196641 VST262177:VSU262177 VST327713:VSU327713 VST393249:VSU393249 VST458785:VSU458785 VST524321:VSU524321 VST589857:VSU589857 VST655393:VSU655393 VST720929:VSU720929 VST786465:VSU786465 VST852001:VSU852001 VST917537:VSU917537 VST983073:VSU983073 WCP33:WCQ33 WCP65569:WCQ65569 WCP131105:WCQ131105 WCP196641:WCQ196641 WCP262177:WCQ262177 WCP327713:WCQ327713 WCP393249:WCQ393249 WCP458785:WCQ458785 WCP524321:WCQ524321 WCP589857:WCQ589857 WCP655393:WCQ655393 WCP720929:WCQ720929 WCP786465:WCQ786465 WCP852001:WCQ852001 WCP917537:WCQ917537 WCP983073:WCQ983073 WML33:WMM33 WML65569:WMM65569 WML131105:WMM131105 WML196641:WMM196641 WML262177:WMM262177 WML327713:WMM327713 WML393249:WMM393249 WML458785:WMM458785 WML524321:WMM524321 WML589857:WMM589857 WML655393:WMM655393 WML720929:WMM720929 WML786465:WMM786465 WML852001:WMM852001 WML917537:WMM917537 WML983073:WMM983073 WWH33:WWI33 WWH65569:WWI65569 WWH131105:WWI131105 WWH196641:WWI196641 WWH262177:WWI262177 WWH327713:WWI327713 WWH393249:WWI393249 WWH458785:WWI458785 WWH524321:WWI524321 WWH589857:WWI589857 WWH655393:WWI655393 WWH720929:WWI720929 WWH786465:WWI786465 WWH852001:WWI852001 WWH917537:WWI917537 WWH983073:WWI983073" xr:uid="{00000000-0002-0000-1400-000001000000}">
      <formula1>"　,いー〇,ろー〇"</formula1>
    </dataValidation>
    <dataValidation allowBlank="1" showInputMessage="1" sqref="W5 W65541 W131077 W196613 W262149 W327685 W393221 W458757 W524293 W589829 W655365 W720901 W786437 W851973 W917509 W983045 JS5 JS65541 JS131077 JS196613 JS262149 JS327685 JS393221 JS458757 JS524293 JS589829 JS655365 JS720901 JS786437 JS851973 JS917509 JS983045 TO5 TO65541 TO131077 TO196613 TO262149 TO327685 TO393221 TO458757 TO524293 TO589829 TO655365 TO720901 TO786437 TO851973 TO917509 TO983045 ADK5 ADK65541 ADK131077 ADK196613 ADK262149 ADK327685 ADK393221 ADK458757 ADK524293 ADK589829 ADK655365 ADK720901 ADK786437 ADK851973 ADK917509 ADK983045 ANG5 ANG65541 ANG131077 ANG196613 ANG262149 ANG327685 ANG393221 ANG458757 ANG524293 ANG589829 ANG655365 ANG720901 ANG786437 ANG851973 ANG917509 ANG983045 AXC5 AXC65541 AXC131077 AXC196613 AXC262149 AXC327685 AXC393221 AXC458757 AXC524293 AXC589829 AXC655365 AXC720901 AXC786437 AXC851973 AXC917509 AXC983045 BGY5 BGY65541 BGY131077 BGY196613 BGY262149 BGY327685 BGY393221 BGY458757 BGY524293 BGY589829 BGY655365 BGY720901 BGY786437 BGY851973 BGY917509 BGY983045 BQU5 BQU65541 BQU131077 BQU196613 BQU262149 BQU327685 BQU393221 BQU458757 BQU524293 BQU589829 BQU655365 BQU720901 BQU786437 BQU851973 BQU917509 BQU983045 CAQ5 CAQ65541 CAQ131077 CAQ196613 CAQ262149 CAQ327685 CAQ393221 CAQ458757 CAQ524293 CAQ589829 CAQ655365 CAQ720901 CAQ786437 CAQ851973 CAQ917509 CAQ983045 CKM5 CKM65541 CKM131077 CKM196613 CKM262149 CKM327685 CKM393221 CKM458757 CKM524293 CKM589829 CKM655365 CKM720901 CKM786437 CKM851973 CKM917509 CKM983045 CUI5 CUI65541 CUI131077 CUI196613 CUI262149 CUI327685 CUI393221 CUI458757 CUI524293 CUI589829 CUI655365 CUI720901 CUI786437 CUI851973 CUI917509 CUI983045 DEE5 DEE65541 DEE131077 DEE196613 DEE262149 DEE327685 DEE393221 DEE458757 DEE524293 DEE589829 DEE655365 DEE720901 DEE786437 DEE851973 DEE917509 DEE983045 DOA5 DOA65541 DOA131077 DOA196613 DOA262149 DOA327685 DOA393221 DOA458757 DOA524293 DOA589829 DOA655365 DOA720901 DOA786437 DOA851973 DOA917509 DOA983045 DXW5 DXW65541 DXW131077 DXW196613 DXW262149 DXW327685 DXW393221 DXW458757 DXW524293 DXW589829 DXW655365 DXW720901 DXW786437 DXW851973 DXW917509 DXW983045 EHS5 EHS65541 EHS131077 EHS196613 EHS262149 EHS327685 EHS393221 EHS458757 EHS524293 EHS589829 EHS655365 EHS720901 EHS786437 EHS851973 EHS917509 EHS983045 ERO5 ERO65541 ERO131077 ERO196613 ERO262149 ERO327685 ERO393221 ERO458757 ERO524293 ERO589829 ERO655365 ERO720901 ERO786437 ERO851973 ERO917509 ERO983045 FBK5 FBK65541 FBK131077 FBK196613 FBK262149 FBK327685 FBK393221 FBK458757 FBK524293 FBK589829 FBK655365 FBK720901 FBK786437 FBK851973 FBK917509 FBK983045 FLG5 FLG65541 FLG131077 FLG196613 FLG262149 FLG327685 FLG393221 FLG458757 FLG524293 FLG589829 FLG655365 FLG720901 FLG786437 FLG851973 FLG917509 FLG983045 FVC5 FVC65541 FVC131077 FVC196613 FVC262149 FVC327685 FVC393221 FVC458757 FVC524293 FVC589829 FVC655365 FVC720901 FVC786437 FVC851973 FVC917509 FVC983045 GEY5 GEY65541 GEY131077 GEY196613 GEY262149 GEY327685 GEY393221 GEY458757 GEY524293 GEY589829 GEY655365 GEY720901 GEY786437 GEY851973 GEY917509 GEY983045 GOU5 GOU65541 GOU131077 GOU196613 GOU262149 GOU327685 GOU393221 GOU458757 GOU524293 GOU589829 GOU655365 GOU720901 GOU786437 GOU851973 GOU917509 GOU983045 GYQ5 GYQ65541 GYQ131077 GYQ196613 GYQ262149 GYQ327685 GYQ393221 GYQ458757 GYQ524293 GYQ589829 GYQ655365 GYQ720901 GYQ786437 GYQ851973 GYQ917509 GYQ983045 HIM5 HIM65541 HIM131077 HIM196613 HIM262149 HIM327685 HIM393221 HIM458757 HIM524293 HIM589829 HIM655365 HIM720901 HIM786437 HIM851973 HIM917509 HIM983045 HSI5 HSI65541 HSI131077 HSI196613 HSI262149 HSI327685 HSI393221 HSI458757 HSI524293 HSI589829 HSI655365 HSI720901 HSI786437 HSI851973 HSI917509 HSI983045 ICE5 ICE65541 ICE131077 ICE196613 ICE262149 ICE327685 ICE393221 ICE458757 ICE524293 ICE589829 ICE655365 ICE720901 ICE786437 ICE851973 ICE917509 ICE983045 IMA5 IMA65541 IMA131077 IMA196613 IMA262149 IMA327685 IMA393221 IMA458757 IMA524293 IMA589829 IMA655365 IMA720901 IMA786437 IMA851973 IMA917509 IMA983045 IVW5 IVW65541 IVW131077 IVW196613 IVW262149 IVW327685 IVW393221 IVW458757 IVW524293 IVW589829 IVW655365 IVW720901 IVW786437 IVW851973 IVW917509 IVW983045 JFS5 JFS65541 JFS131077 JFS196613 JFS262149 JFS327685 JFS393221 JFS458757 JFS524293 JFS589829 JFS655365 JFS720901 JFS786437 JFS851973 JFS917509 JFS983045 JPO5 JPO65541 JPO131077 JPO196613 JPO262149 JPO327685 JPO393221 JPO458757 JPO524293 JPO589829 JPO655365 JPO720901 JPO786437 JPO851973 JPO917509 JPO983045 JZK5 JZK65541 JZK131077 JZK196613 JZK262149 JZK327685 JZK393221 JZK458757 JZK524293 JZK589829 JZK655365 JZK720901 JZK786437 JZK851973 JZK917509 JZK983045 KJG5 KJG65541 KJG131077 KJG196613 KJG262149 KJG327685 KJG393221 KJG458757 KJG524293 KJG589829 KJG655365 KJG720901 KJG786437 KJG851973 KJG917509 KJG983045 KTC5 KTC65541 KTC131077 KTC196613 KTC262149 KTC327685 KTC393221 KTC458757 KTC524293 KTC589829 KTC655365 KTC720901 KTC786437 KTC851973 KTC917509 KTC983045 LCY5 LCY65541 LCY131077 LCY196613 LCY262149 LCY327685 LCY393221 LCY458757 LCY524293 LCY589829 LCY655365 LCY720901 LCY786437 LCY851973 LCY917509 LCY983045 LMU5 LMU65541 LMU131077 LMU196613 LMU262149 LMU327685 LMU393221 LMU458757 LMU524293 LMU589829 LMU655365 LMU720901 LMU786437 LMU851973 LMU917509 LMU983045 LWQ5 LWQ65541 LWQ131077 LWQ196613 LWQ262149 LWQ327685 LWQ393221 LWQ458757 LWQ524293 LWQ589829 LWQ655365 LWQ720901 LWQ786437 LWQ851973 LWQ917509 LWQ983045 MGM5 MGM65541 MGM131077 MGM196613 MGM262149 MGM327685 MGM393221 MGM458757 MGM524293 MGM589829 MGM655365 MGM720901 MGM786437 MGM851973 MGM917509 MGM983045 MQI5 MQI65541 MQI131077 MQI196613 MQI262149 MQI327685 MQI393221 MQI458757 MQI524293 MQI589829 MQI655365 MQI720901 MQI786437 MQI851973 MQI917509 MQI983045 NAE5 NAE65541 NAE131077 NAE196613 NAE262149 NAE327685 NAE393221 NAE458757 NAE524293 NAE589829 NAE655365 NAE720901 NAE786437 NAE851973 NAE917509 NAE983045 NKA5 NKA65541 NKA131077 NKA196613 NKA262149 NKA327685 NKA393221 NKA458757 NKA524293 NKA589829 NKA655365 NKA720901 NKA786437 NKA851973 NKA917509 NKA983045 NTW5 NTW65541 NTW131077 NTW196613 NTW262149 NTW327685 NTW393221 NTW458757 NTW524293 NTW589829 NTW655365 NTW720901 NTW786437 NTW851973 NTW917509 NTW983045 ODS5 ODS65541 ODS131077 ODS196613 ODS262149 ODS327685 ODS393221 ODS458757 ODS524293 ODS589829 ODS655365 ODS720901 ODS786437 ODS851973 ODS917509 ODS983045 ONO5 ONO65541 ONO131077 ONO196613 ONO262149 ONO327685 ONO393221 ONO458757 ONO524293 ONO589829 ONO655365 ONO720901 ONO786437 ONO851973 ONO917509 ONO983045 OXK5 OXK65541 OXK131077 OXK196613 OXK262149 OXK327685 OXK393221 OXK458757 OXK524293 OXK589829 OXK655365 OXK720901 OXK786437 OXK851973 OXK917509 OXK983045 PHG5 PHG65541 PHG131077 PHG196613 PHG262149 PHG327685 PHG393221 PHG458757 PHG524293 PHG589829 PHG655365 PHG720901 PHG786437 PHG851973 PHG917509 PHG983045 PRC5 PRC65541 PRC131077 PRC196613 PRC262149 PRC327685 PRC393221 PRC458757 PRC524293 PRC589829 PRC655365 PRC720901 PRC786437 PRC851973 PRC917509 PRC983045 QAY5 QAY65541 QAY131077 QAY196613 QAY262149 QAY327685 QAY393221 QAY458757 QAY524293 QAY589829 QAY655365 QAY720901 QAY786437 QAY851973 QAY917509 QAY983045 QKU5 QKU65541 QKU131077 QKU196613 QKU262149 QKU327685 QKU393221 QKU458757 QKU524293 QKU589829 QKU655365 QKU720901 QKU786437 QKU851973 QKU917509 QKU983045 QUQ5 QUQ65541 QUQ131077 QUQ196613 QUQ262149 QUQ327685 QUQ393221 QUQ458757 QUQ524293 QUQ589829 QUQ655365 QUQ720901 QUQ786437 QUQ851973 QUQ917509 QUQ983045 REM5 REM65541 REM131077 REM196613 REM262149 REM327685 REM393221 REM458757 REM524293 REM589829 REM655365 REM720901 REM786437 REM851973 REM917509 REM983045 ROI5 ROI65541 ROI131077 ROI196613 ROI262149 ROI327685 ROI393221 ROI458757 ROI524293 ROI589829 ROI655365 ROI720901 ROI786437 ROI851973 ROI917509 ROI983045 RYE5 RYE65541 RYE131077 RYE196613 RYE262149 RYE327685 RYE393221 RYE458757 RYE524293 RYE589829 RYE655365 RYE720901 RYE786437 RYE851973 RYE917509 RYE983045 SIA5 SIA65541 SIA131077 SIA196613 SIA262149 SIA327685 SIA393221 SIA458757 SIA524293 SIA589829 SIA655365 SIA720901 SIA786437 SIA851973 SIA917509 SIA983045 SRW5 SRW65541 SRW131077 SRW196613 SRW262149 SRW327685 SRW393221 SRW458757 SRW524293 SRW589829 SRW655365 SRW720901 SRW786437 SRW851973 SRW917509 SRW983045 TBS5 TBS65541 TBS131077 TBS196613 TBS262149 TBS327685 TBS393221 TBS458757 TBS524293 TBS589829 TBS655365 TBS720901 TBS786437 TBS851973 TBS917509 TBS983045 TLO5 TLO65541 TLO131077 TLO196613 TLO262149 TLO327685 TLO393221 TLO458757 TLO524293 TLO589829 TLO655365 TLO720901 TLO786437 TLO851973 TLO917509 TLO983045 TVK5 TVK65541 TVK131077 TVK196613 TVK262149 TVK327685 TVK393221 TVK458757 TVK524293 TVK589829 TVK655365 TVK720901 TVK786437 TVK851973 TVK917509 TVK983045 UFG5 UFG65541 UFG131077 UFG196613 UFG262149 UFG327685 UFG393221 UFG458757 UFG524293 UFG589829 UFG655365 UFG720901 UFG786437 UFG851973 UFG917509 UFG983045 UPC5 UPC65541 UPC131077 UPC196613 UPC262149 UPC327685 UPC393221 UPC458757 UPC524293 UPC589829 UPC655365 UPC720901 UPC786437 UPC851973 UPC917509 UPC983045 UYY5 UYY65541 UYY131077 UYY196613 UYY262149 UYY327685 UYY393221 UYY458757 UYY524293 UYY589829 UYY655365 UYY720901 UYY786437 UYY851973 UYY917509 UYY983045 VIU5 VIU65541 VIU131077 VIU196613 VIU262149 VIU327685 VIU393221 VIU458757 VIU524293 VIU589829 VIU655365 VIU720901 VIU786437 VIU851973 VIU917509 VIU983045 VSQ5 VSQ65541 VSQ131077 VSQ196613 VSQ262149 VSQ327685 VSQ393221 VSQ458757 VSQ524293 VSQ589829 VSQ655365 VSQ720901 VSQ786437 VSQ851973 VSQ917509 VSQ983045 WCM5 WCM65541 WCM131077 WCM196613 WCM262149 WCM327685 WCM393221 WCM458757 WCM524293 WCM589829 WCM655365 WCM720901 WCM786437 WCM851973 WCM917509 WCM983045 WMI5 WMI65541 WMI131077 WMI196613 WMI262149 WMI327685 WMI393221 WMI458757 WMI524293 WMI589829 WMI655365 WMI720901 WMI786437 WMI851973 WMI917509 WMI983045 WWE5 WWE65541 WWE131077 WWE196613 WWE262149 WWE327685 WWE393221 WWE458757 WWE524293 WWE589829 WWE655365 WWE720901 WWE786437 WWE851973 WWE917509 WWE983045" xr:uid="{00000000-0002-0000-1400-000002000000}"/>
    <dataValidation allowBlank="1" showInputMessage="1" showErrorMessage="1" sqref="O19:AF19 O65555:AF65555 O131091:AF131091 O196627:AF196627 O262163:AF262163 O327699:AF327699 O393235:AF393235 O458771:AF458771 O524307:AF524307 O589843:AF589843 O655379:AF655379 O720915:AF720915 O786451:AF786451 O851987:AF851987 O917523:AF917523 O983059:AF983059 JK19:KB19 JK65555:KB65555 JK131091:KB131091 JK196627:KB196627 JK262163:KB262163 JK327699:KB327699 JK393235:KB393235 JK458771:KB458771 JK524307:KB524307 JK589843:KB589843 JK655379:KB655379 JK720915:KB720915 JK786451:KB786451 JK851987:KB851987 JK917523:KB917523 JK983059:KB983059 TG19:TX19 TG65555:TX65555 TG131091:TX131091 TG196627:TX196627 TG262163:TX262163 TG327699:TX327699 TG393235:TX393235 TG458771:TX458771 TG524307:TX524307 TG589843:TX589843 TG655379:TX655379 TG720915:TX720915 TG786451:TX786451 TG851987:TX851987 TG917523:TX917523 TG983059:TX983059 ADC19:ADT19 ADC65555:ADT65555 ADC131091:ADT131091 ADC196627:ADT196627 ADC262163:ADT262163 ADC327699:ADT327699 ADC393235:ADT393235 ADC458771:ADT458771 ADC524307:ADT524307 ADC589843:ADT589843 ADC655379:ADT655379 ADC720915:ADT720915 ADC786451:ADT786451 ADC851987:ADT851987 ADC917523:ADT917523 ADC983059:ADT983059 AMY19:ANP19 AMY65555:ANP65555 AMY131091:ANP131091 AMY196627:ANP196627 AMY262163:ANP262163 AMY327699:ANP327699 AMY393235:ANP393235 AMY458771:ANP458771 AMY524307:ANP524307 AMY589843:ANP589843 AMY655379:ANP655379 AMY720915:ANP720915 AMY786451:ANP786451 AMY851987:ANP851987 AMY917523:ANP917523 AMY983059:ANP983059 AWU19:AXL19 AWU65555:AXL65555 AWU131091:AXL131091 AWU196627:AXL196627 AWU262163:AXL262163 AWU327699:AXL327699 AWU393235:AXL393235 AWU458771:AXL458771 AWU524307:AXL524307 AWU589843:AXL589843 AWU655379:AXL655379 AWU720915:AXL720915 AWU786451:AXL786451 AWU851987:AXL851987 AWU917523:AXL917523 AWU983059:AXL983059 BGQ19:BHH19 BGQ65555:BHH65555 BGQ131091:BHH131091 BGQ196627:BHH196627 BGQ262163:BHH262163 BGQ327699:BHH327699 BGQ393235:BHH393235 BGQ458771:BHH458771 BGQ524307:BHH524307 BGQ589843:BHH589843 BGQ655379:BHH655379 BGQ720915:BHH720915 BGQ786451:BHH786451 BGQ851987:BHH851987 BGQ917523:BHH917523 BGQ983059:BHH983059 BQM19:BRD19 BQM65555:BRD65555 BQM131091:BRD131091 BQM196627:BRD196627 BQM262163:BRD262163 BQM327699:BRD327699 BQM393235:BRD393235 BQM458771:BRD458771 BQM524307:BRD524307 BQM589843:BRD589843 BQM655379:BRD655379 BQM720915:BRD720915 BQM786451:BRD786451 BQM851987:BRD851987 BQM917523:BRD917523 BQM983059:BRD983059 CAI19:CAZ19 CAI65555:CAZ65555 CAI131091:CAZ131091 CAI196627:CAZ196627 CAI262163:CAZ262163 CAI327699:CAZ327699 CAI393235:CAZ393235 CAI458771:CAZ458771 CAI524307:CAZ524307 CAI589843:CAZ589843 CAI655379:CAZ655379 CAI720915:CAZ720915 CAI786451:CAZ786451 CAI851987:CAZ851987 CAI917523:CAZ917523 CAI983059:CAZ983059 CKE19:CKV19 CKE65555:CKV65555 CKE131091:CKV131091 CKE196627:CKV196627 CKE262163:CKV262163 CKE327699:CKV327699 CKE393235:CKV393235 CKE458771:CKV458771 CKE524307:CKV524307 CKE589843:CKV589843 CKE655379:CKV655379 CKE720915:CKV720915 CKE786451:CKV786451 CKE851987:CKV851987 CKE917523:CKV917523 CKE983059:CKV983059 CUA19:CUR19 CUA65555:CUR65555 CUA131091:CUR131091 CUA196627:CUR196627 CUA262163:CUR262163 CUA327699:CUR327699 CUA393235:CUR393235 CUA458771:CUR458771 CUA524307:CUR524307 CUA589843:CUR589843 CUA655379:CUR655379 CUA720915:CUR720915 CUA786451:CUR786451 CUA851987:CUR851987 CUA917523:CUR917523 CUA983059:CUR983059 DDW19:DEN19 DDW65555:DEN65555 DDW131091:DEN131091 DDW196627:DEN196627 DDW262163:DEN262163 DDW327699:DEN327699 DDW393235:DEN393235 DDW458771:DEN458771 DDW524307:DEN524307 DDW589843:DEN589843 DDW655379:DEN655379 DDW720915:DEN720915 DDW786451:DEN786451 DDW851987:DEN851987 DDW917523:DEN917523 DDW983059:DEN983059 DNS19:DOJ19 DNS65555:DOJ65555 DNS131091:DOJ131091 DNS196627:DOJ196627 DNS262163:DOJ262163 DNS327699:DOJ327699 DNS393235:DOJ393235 DNS458771:DOJ458771 DNS524307:DOJ524307 DNS589843:DOJ589843 DNS655379:DOJ655379 DNS720915:DOJ720915 DNS786451:DOJ786451 DNS851987:DOJ851987 DNS917523:DOJ917523 DNS983059:DOJ983059 DXO19:DYF19 DXO65555:DYF65555 DXO131091:DYF131091 DXO196627:DYF196627 DXO262163:DYF262163 DXO327699:DYF327699 DXO393235:DYF393235 DXO458771:DYF458771 DXO524307:DYF524307 DXO589843:DYF589843 DXO655379:DYF655379 DXO720915:DYF720915 DXO786451:DYF786451 DXO851987:DYF851987 DXO917523:DYF917523 DXO983059:DYF983059 EHK19:EIB19 EHK65555:EIB65555 EHK131091:EIB131091 EHK196627:EIB196627 EHK262163:EIB262163 EHK327699:EIB327699 EHK393235:EIB393235 EHK458771:EIB458771 EHK524307:EIB524307 EHK589843:EIB589843 EHK655379:EIB655379 EHK720915:EIB720915 EHK786451:EIB786451 EHK851987:EIB851987 EHK917523:EIB917523 EHK983059:EIB983059 ERG19:ERX19 ERG65555:ERX65555 ERG131091:ERX131091 ERG196627:ERX196627 ERG262163:ERX262163 ERG327699:ERX327699 ERG393235:ERX393235 ERG458771:ERX458771 ERG524307:ERX524307 ERG589843:ERX589843 ERG655379:ERX655379 ERG720915:ERX720915 ERG786451:ERX786451 ERG851987:ERX851987 ERG917523:ERX917523 ERG983059:ERX983059 FBC19:FBT19 FBC65555:FBT65555 FBC131091:FBT131091 FBC196627:FBT196627 FBC262163:FBT262163 FBC327699:FBT327699 FBC393235:FBT393235 FBC458771:FBT458771 FBC524307:FBT524307 FBC589843:FBT589843 FBC655379:FBT655379 FBC720915:FBT720915 FBC786451:FBT786451 FBC851987:FBT851987 FBC917523:FBT917523 FBC983059:FBT983059 FKY19:FLP19 FKY65555:FLP65555 FKY131091:FLP131091 FKY196627:FLP196627 FKY262163:FLP262163 FKY327699:FLP327699 FKY393235:FLP393235 FKY458771:FLP458771 FKY524307:FLP524307 FKY589843:FLP589843 FKY655379:FLP655379 FKY720915:FLP720915 FKY786451:FLP786451 FKY851987:FLP851987 FKY917523:FLP917523 FKY983059:FLP983059 FUU19:FVL19 FUU65555:FVL65555 FUU131091:FVL131091 FUU196627:FVL196627 FUU262163:FVL262163 FUU327699:FVL327699 FUU393235:FVL393235 FUU458771:FVL458771 FUU524307:FVL524307 FUU589843:FVL589843 FUU655379:FVL655379 FUU720915:FVL720915 FUU786451:FVL786451 FUU851987:FVL851987 FUU917523:FVL917523 FUU983059:FVL983059 GEQ19:GFH19 GEQ65555:GFH65555 GEQ131091:GFH131091 GEQ196627:GFH196627 GEQ262163:GFH262163 GEQ327699:GFH327699 GEQ393235:GFH393235 GEQ458771:GFH458771 GEQ524307:GFH524307 GEQ589843:GFH589843 GEQ655379:GFH655379 GEQ720915:GFH720915 GEQ786451:GFH786451 GEQ851987:GFH851987 GEQ917523:GFH917523 GEQ983059:GFH983059 GOM19:GPD19 GOM65555:GPD65555 GOM131091:GPD131091 GOM196627:GPD196627 GOM262163:GPD262163 GOM327699:GPD327699 GOM393235:GPD393235 GOM458771:GPD458771 GOM524307:GPD524307 GOM589843:GPD589843 GOM655379:GPD655379 GOM720915:GPD720915 GOM786451:GPD786451 GOM851987:GPD851987 GOM917523:GPD917523 GOM983059:GPD983059 GYI19:GYZ19 GYI65555:GYZ65555 GYI131091:GYZ131091 GYI196627:GYZ196627 GYI262163:GYZ262163 GYI327699:GYZ327699 GYI393235:GYZ393235 GYI458771:GYZ458771 GYI524307:GYZ524307 GYI589843:GYZ589843 GYI655379:GYZ655379 GYI720915:GYZ720915 GYI786451:GYZ786451 GYI851987:GYZ851987 GYI917523:GYZ917523 GYI983059:GYZ983059 HIE19:HIV19 HIE65555:HIV65555 HIE131091:HIV131091 HIE196627:HIV196627 HIE262163:HIV262163 HIE327699:HIV327699 HIE393235:HIV393235 HIE458771:HIV458771 HIE524307:HIV524307 HIE589843:HIV589843 HIE655379:HIV655379 HIE720915:HIV720915 HIE786451:HIV786451 HIE851987:HIV851987 HIE917523:HIV917523 HIE983059:HIV983059 HSA19:HSR19 HSA65555:HSR65555 HSA131091:HSR131091 HSA196627:HSR196627 HSA262163:HSR262163 HSA327699:HSR327699 HSA393235:HSR393235 HSA458771:HSR458771 HSA524307:HSR524307 HSA589843:HSR589843 HSA655379:HSR655379 HSA720915:HSR720915 HSA786451:HSR786451 HSA851987:HSR851987 HSA917523:HSR917523 HSA983059:HSR983059 IBW19:ICN19 IBW65555:ICN65555 IBW131091:ICN131091 IBW196627:ICN196627 IBW262163:ICN262163 IBW327699:ICN327699 IBW393235:ICN393235 IBW458771:ICN458771 IBW524307:ICN524307 IBW589843:ICN589843 IBW655379:ICN655379 IBW720915:ICN720915 IBW786451:ICN786451 IBW851987:ICN851987 IBW917523:ICN917523 IBW983059:ICN983059 ILS19:IMJ19 ILS65555:IMJ65555 ILS131091:IMJ131091 ILS196627:IMJ196627 ILS262163:IMJ262163 ILS327699:IMJ327699 ILS393235:IMJ393235 ILS458771:IMJ458771 ILS524307:IMJ524307 ILS589843:IMJ589843 ILS655379:IMJ655379 ILS720915:IMJ720915 ILS786451:IMJ786451 ILS851987:IMJ851987 ILS917523:IMJ917523 ILS983059:IMJ983059 IVO19:IWF19 IVO65555:IWF65555 IVO131091:IWF131091 IVO196627:IWF196627 IVO262163:IWF262163 IVO327699:IWF327699 IVO393235:IWF393235 IVO458771:IWF458771 IVO524307:IWF524307 IVO589843:IWF589843 IVO655379:IWF655379 IVO720915:IWF720915 IVO786451:IWF786451 IVO851987:IWF851987 IVO917523:IWF917523 IVO983059:IWF983059 JFK19:JGB19 JFK65555:JGB65555 JFK131091:JGB131091 JFK196627:JGB196627 JFK262163:JGB262163 JFK327699:JGB327699 JFK393235:JGB393235 JFK458771:JGB458771 JFK524307:JGB524307 JFK589843:JGB589843 JFK655379:JGB655379 JFK720915:JGB720915 JFK786451:JGB786451 JFK851987:JGB851987 JFK917523:JGB917523 JFK983059:JGB983059 JPG19:JPX19 JPG65555:JPX65555 JPG131091:JPX131091 JPG196627:JPX196627 JPG262163:JPX262163 JPG327699:JPX327699 JPG393235:JPX393235 JPG458771:JPX458771 JPG524307:JPX524307 JPG589843:JPX589843 JPG655379:JPX655379 JPG720915:JPX720915 JPG786451:JPX786451 JPG851987:JPX851987 JPG917523:JPX917523 JPG983059:JPX983059 JZC19:JZT19 JZC65555:JZT65555 JZC131091:JZT131091 JZC196627:JZT196627 JZC262163:JZT262163 JZC327699:JZT327699 JZC393235:JZT393235 JZC458771:JZT458771 JZC524307:JZT524307 JZC589843:JZT589843 JZC655379:JZT655379 JZC720915:JZT720915 JZC786451:JZT786451 JZC851987:JZT851987 JZC917523:JZT917523 JZC983059:JZT983059 KIY19:KJP19 KIY65555:KJP65555 KIY131091:KJP131091 KIY196627:KJP196627 KIY262163:KJP262163 KIY327699:KJP327699 KIY393235:KJP393235 KIY458771:KJP458771 KIY524307:KJP524307 KIY589843:KJP589843 KIY655379:KJP655379 KIY720915:KJP720915 KIY786451:KJP786451 KIY851987:KJP851987 KIY917523:KJP917523 KIY983059:KJP983059 KSU19:KTL19 KSU65555:KTL65555 KSU131091:KTL131091 KSU196627:KTL196627 KSU262163:KTL262163 KSU327699:KTL327699 KSU393235:KTL393235 KSU458771:KTL458771 KSU524307:KTL524307 KSU589843:KTL589843 KSU655379:KTL655379 KSU720915:KTL720915 KSU786451:KTL786451 KSU851987:KTL851987 KSU917523:KTL917523 KSU983059:KTL983059 LCQ19:LDH19 LCQ65555:LDH65555 LCQ131091:LDH131091 LCQ196627:LDH196627 LCQ262163:LDH262163 LCQ327699:LDH327699 LCQ393235:LDH393235 LCQ458771:LDH458771 LCQ524307:LDH524307 LCQ589843:LDH589843 LCQ655379:LDH655379 LCQ720915:LDH720915 LCQ786451:LDH786451 LCQ851987:LDH851987 LCQ917523:LDH917523 LCQ983059:LDH983059 LMM19:LND19 LMM65555:LND65555 LMM131091:LND131091 LMM196627:LND196627 LMM262163:LND262163 LMM327699:LND327699 LMM393235:LND393235 LMM458771:LND458771 LMM524307:LND524307 LMM589843:LND589843 LMM655379:LND655379 LMM720915:LND720915 LMM786451:LND786451 LMM851987:LND851987 LMM917523:LND917523 LMM983059:LND983059 LWI19:LWZ19 LWI65555:LWZ65555 LWI131091:LWZ131091 LWI196627:LWZ196627 LWI262163:LWZ262163 LWI327699:LWZ327699 LWI393235:LWZ393235 LWI458771:LWZ458771 LWI524307:LWZ524307 LWI589843:LWZ589843 LWI655379:LWZ655379 LWI720915:LWZ720915 LWI786451:LWZ786451 LWI851987:LWZ851987 LWI917523:LWZ917523 LWI983059:LWZ983059 MGE19:MGV19 MGE65555:MGV65555 MGE131091:MGV131091 MGE196627:MGV196627 MGE262163:MGV262163 MGE327699:MGV327699 MGE393235:MGV393235 MGE458771:MGV458771 MGE524307:MGV524307 MGE589843:MGV589843 MGE655379:MGV655379 MGE720915:MGV720915 MGE786451:MGV786451 MGE851987:MGV851987 MGE917523:MGV917523 MGE983059:MGV983059 MQA19:MQR19 MQA65555:MQR65555 MQA131091:MQR131091 MQA196627:MQR196627 MQA262163:MQR262163 MQA327699:MQR327699 MQA393235:MQR393235 MQA458771:MQR458771 MQA524307:MQR524307 MQA589843:MQR589843 MQA655379:MQR655379 MQA720915:MQR720915 MQA786451:MQR786451 MQA851987:MQR851987 MQA917523:MQR917523 MQA983059:MQR983059 MZW19:NAN19 MZW65555:NAN65555 MZW131091:NAN131091 MZW196627:NAN196627 MZW262163:NAN262163 MZW327699:NAN327699 MZW393235:NAN393235 MZW458771:NAN458771 MZW524307:NAN524307 MZW589843:NAN589843 MZW655379:NAN655379 MZW720915:NAN720915 MZW786451:NAN786451 MZW851987:NAN851987 MZW917523:NAN917523 MZW983059:NAN983059 NJS19:NKJ19 NJS65555:NKJ65555 NJS131091:NKJ131091 NJS196627:NKJ196627 NJS262163:NKJ262163 NJS327699:NKJ327699 NJS393235:NKJ393235 NJS458771:NKJ458771 NJS524307:NKJ524307 NJS589843:NKJ589843 NJS655379:NKJ655379 NJS720915:NKJ720915 NJS786451:NKJ786451 NJS851987:NKJ851987 NJS917523:NKJ917523 NJS983059:NKJ983059 NTO19:NUF19 NTO65555:NUF65555 NTO131091:NUF131091 NTO196627:NUF196627 NTO262163:NUF262163 NTO327699:NUF327699 NTO393235:NUF393235 NTO458771:NUF458771 NTO524307:NUF524307 NTO589843:NUF589843 NTO655379:NUF655379 NTO720915:NUF720915 NTO786451:NUF786451 NTO851987:NUF851987 NTO917523:NUF917523 NTO983059:NUF983059 ODK19:OEB19 ODK65555:OEB65555 ODK131091:OEB131091 ODK196627:OEB196627 ODK262163:OEB262163 ODK327699:OEB327699 ODK393235:OEB393235 ODK458771:OEB458771 ODK524307:OEB524307 ODK589843:OEB589843 ODK655379:OEB655379 ODK720915:OEB720915 ODK786451:OEB786451 ODK851987:OEB851987 ODK917523:OEB917523 ODK983059:OEB983059 ONG19:ONX19 ONG65555:ONX65555 ONG131091:ONX131091 ONG196627:ONX196627 ONG262163:ONX262163 ONG327699:ONX327699 ONG393235:ONX393235 ONG458771:ONX458771 ONG524307:ONX524307 ONG589843:ONX589843 ONG655379:ONX655379 ONG720915:ONX720915 ONG786451:ONX786451 ONG851987:ONX851987 ONG917523:ONX917523 ONG983059:ONX983059 OXC19:OXT19 OXC65555:OXT65555 OXC131091:OXT131091 OXC196627:OXT196627 OXC262163:OXT262163 OXC327699:OXT327699 OXC393235:OXT393235 OXC458771:OXT458771 OXC524307:OXT524307 OXC589843:OXT589843 OXC655379:OXT655379 OXC720915:OXT720915 OXC786451:OXT786451 OXC851987:OXT851987 OXC917523:OXT917523 OXC983059:OXT983059 PGY19:PHP19 PGY65555:PHP65555 PGY131091:PHP131091 PGY196627:PHP196627 PGY262163:PHP262163 PGY327699:PHP327699 PGY393235:PHP393235 PGY458771:PHP458771 PGY524307:PHP524307 PGY589843:PHP589843 PGY655379:PHP655379 PGY720915:PHP720915 PGY786451:PHP786451 PGY851987:PHP851987 PGY917523:PHP917523 PGY983059:PHP983059 PQU19:PRL19 PQU65555:PRL65555 PQU131091:PRL131091 PQU196627:PRL196627 PQU262163:PRL262163 PQU327699:PRL327699 PQU393235:PRL393235 PQU458771:PRL458771 PQU524307:PRL524307 PQU589843:PRL589843 PQU655379:PRL655379 PQU720915:PRL720915 PQU786451:PRL786451 PQU851987:PRL851987 PQU917523:PRL917523 PQU983059:PRL983059 QAQ19:QBH19 QAQ65555:QBH65555 QAQ131091:QBH131091 QAQ196627:QBH196627 QAQ262163:QBH262163 QAQ327699:QBH327699 QAQ393235:QBH393235 QAQ458771:QBH458771 QAQ524307:QBH524307 QAQ589843:QBH589843 QAQ655379:QBH655379 QAQ720915:QBH720915 QAQ786451:QBH786451 QAQ851987:QBH851987 QAQ917523:QBH917523 QAQ983059:QBH983059 QKM19:QLD19 QKM65555:QLD65555 QKM131091:QLD131091 QKM196627:QLD196627 QKM262163:QLD262163 QKM327699:QLD327699 QKM393235:QLD393235 QKM458771:QLD458771 QKM524307:QLD524307 QKM589843:QLD589843 QKM655379:QLD655379 QKM720915:QLD720915 QKM786451:QLD786451 QKM851987:QLD851987 QKM917523:QLD917523 QKM983059:QLD983059 QUI19:QUZ19 QUI65555:QUZ65555 QUI131091:QUZ131091 QUI196627:QUZ196627 QUI262163:QUZ262163 QUI327699:QUZ327699 QUI393235:QUZ393235 QUI458771:QUZ458771 QUI524307:QUZ524307 QUI589843:QUZ589843 QUI655379:QUZ655379 QUI720915:QUZ720915 QUI786451:QUZ786451 QUI851987:QUZ851987 QUI917523:QUZ917523 QUI983059:QUZ983059 REE19:REV19 REE65555:REV65555 REE131091:REV131091 REE196627:REV196627 REE262163:REV262163 REE327699:REV327699 REE393235:REV393235 REE458771:REV458771 REE524307:REV524307 REE589843:REV589843 REE655379:REV655379 REE720915:REV720915 REE786451:REV786451 REE851987:REV851987 REE917523:REV917523 REE983059:REV983059 ROA19:ROR19 ROA65555:ROR65555 ROA131091:ROR131091 ROA196627:ROR196627 ROA262163:ROR262163 ROA327699:ROR327699 ROA393235:ROR393235 ROA458771:ROR458771 ROA524307:ROR524307 ROA589843:ROR589843 ROA655379:ROR655379 ROA720915:ROR720915 ROA786451:ROR786451 ROA851987:ROR851987 ROA917523:ROR917523 ROA983059:ROR983059 RXW19:RYN19 RXW65555:RYN65555 RXW131091:RYN131091 RXW196627:RYN196627 RXW262163:RYN262163 RXW327699:RYN327699 RXW393235:RYN393235 RXW458771:RYN458771 RXW524307:RYN524307 RXW589843:RYN589843 RXW655379:RYN655379 RXW720915:RYN720915 RXW786451:RYN786451 RXW851987:RYN851987 RXW917523:RYN917523 RXW983059:RYN983059 SHS19:SIJ19 SHS65555:SIJ65555 SHS131091:SIJ131091 SHS196627:SIJ196627 SHS262163:SIJ262163 SHS327699:SIJ327699 SHS393235:SIJ393235 SHS458771:SIJ458771 SHS524307:SIJ524307 SHS589843:SIJ589843 SHS655379:SIJ655379 SHS720915:SIJ720915 SHS786451:SIJ786451 SHS851987:SIJ851987 SHS917523:SIJ917523 SHS983059:SIJ983059 SRO19:SSF19 SRO65555:SSF65555 SRO131091:SSF131091 SRO196627:SSF196627 SRO262163:SSF262163 SRO327699:SSF327699 SRO393235:SSF393235 SRO458771:SSF458771 SRO524307:SSF524307 SRO589843:SSF589843 SRO655379:SSF655379 SRO720915:SSF720915 SRO786451:SSF786451 SRO851987:SSF851987 SRO917523:SSF917523 SRO983059:SSF983059 TBK19:TCB19 TBK65555:TCB65555 TBK131091:TCB131091 TBK196627:TCB196627 TBK262163:TCB262163 TBK327699:TCB327699 TBK393235:TCB393235 TBK458771:TCB458771 TBK524307:TCB524307 TBK589843:TCB589843 TBK655379:TCB655379 TBK720915:TCB720915 TBK786451:TCB786451 TBK851987:TCB851987 TBK917523:TCB917523 TBK983059:TCB983059 TLG19:TLX19 TLG65555:TLX65555 TLG131091:TLX131091 TLG196627:TLX196627 TLG262163:TLX262163 TLG327699:TLX327699 TLG393235:TLX393235 TLG458771:TLX458771 TLG524307:TLX524307 TLG589843:TLX589843 TLG655379:TLX655379 TLG720915:TLX720915 TLG786451:TLX786451 TLG851987:TLX851987 TLG917523:TLX917523 TLG983059:TLX983059 TVC19:TVT19 TVC65555:TVT65555 TVC131091:TVT131091 TVC196627:TVT196627 TVC262163:TVT262163 TVC327699:TVT327699 TVC393235:TVT393235 TVC458771:TVT458771 TVC524307:TVT524307 TVC589843:TVT589843 TVC655379:TVT655379 TVC720915:TVT720915 TVC786451:TVT786451 TVC851987:TVT851987 TVC917523:TVT917523 TVC983059:TVT983059 UEY19:UFP19 UEY65555:UFP65555 UEY131091:UFP131091 UEY196627:UFP196627 UEY262163:UFP262163 UEY327699:UFP327699 UEY393235:UFP393235 UEY458771:UFP458771 UEY524307:UFP524307 UEY589843:UFP589843 UEY655379:UFP655379 UEY720915:UFP720915 UEY786451:UFP786451 UEY851987:UFP851987 UEY917523:UFP917523 UEY983059:UFP983059 UOU19:UPL19 UOU65555:UPL65555 UOU131091:UPL131091 UOU196627:UPL196627 UOU262163:UPL262163 UOU327699:UPL327699 UOU393235:UPL393235 UOU458771:UPL458771 UOU524307:UPL524307 UOU589843:UPL589843 UOU655379:UPL655379 UOU720915:UPL720915 UOU786451:UPL786451 UOU851987:UPL851987 UOU917523:UPL917523 UOU983059:UPL983059 UYQ19:UZH19 UYQ65555:UZH65555 UYQ131091:UZH131091 UYQ196627:UZH196627 UYQ262163:UZH262163 UYQ327699:UZH327699 UYQ393235:UZH393235 UYQ458771:UZH458771 UYQ524307:UZH524307 UYQ589843:UZH589843 UYQ655379:UZH655379 UYQ720915:UZH720915 UYQ786451:UZH786451 UYQ851987:UZH851987 UYQ917523:UZH917523 UYQ983059:UZH983059 VIM19:VJD19 VIM65555:VJD65555 VIM131091:VJD131091 VIM196627:VJD196627 VIM262163:VJD262163 VIM327699:VJD327699 VIM393235:VJD393235 VIM458771:VJD458771 VIM524307:VJD524307 VIM589843:VJD589843 VIM655379:VJD655379 VIM720915:VJD720915 VIM786451:VJD786451 VIM851987:VJD851987 VIM917523:VJD917523 VIM983059:VJD983059 VSI19:VSZ19 VSI65555:VSZ65555 VSI131091:VSZ131091 VSI196627:VSZ196627 VSI262163:VSZ262163 VSI327699:VSZ327699 VSI393235:VSZ393235 VSI458771:VSZ458771 VSI524307:VSZ524307 VSI589843:VSZ589843 VSI655379:VSZ655379 VSI720915:VSZ720915 VSI786451:VSZ786451 VSI851987:VSZ851987 VSI917523:VSZ917523 VSI983059:VSZ983059 WCE19:WCV19 WCE65555:WCV65555 WCE131091:WCV131091 WCE196627:WCV196627 WCE262163:WCV262163 WCE327699:WCV327699 WCE393235:WCV393235 WCE458771:WCV458771 WCE524307:WCV524307 WCE589843:WCV589843 WCE655379:WCV655379 WCE720915:WCV720915 WCE786451:WCV786451 WCE851987:WCV851987 WCE917523:WCV917523 WCE983059:WCV983059 WMA19:WMR19 WMA65555:WMR65555 WMA131091:WMR131091 WMA196627:WMR196627 WMA262163:WMR262163 WMA327699:WMR327699 WMA393235:WMR393235 WMA458771:WMR458771 WMA524307:WMR524307 WMA589843:WMR589843 WMA655379:WMR655379 WMA720915:WMR720915 WMA786451:WMR786451 WMA851987:WMR851987 WMA917523:WMR917523 WMA983059:WMR983059 WVW19:WWN19 WVW65555:WWN65555 WVW131091:WWN131091 WVW196627:WWN196627 WVW262163:WWN262163 WVW327699:WWN327699 WVW393235:WWN393235 WVW458771:WWN458771 WVW524307:WWN524307 WVW589843:WWN589843 WVW655379:WWN655379 WVW720915:WWN720915 WVW786451:WWN786451 WVW851987:WWN851987 WVW917523:WWN917523 WVW983059:WWN983059" xr:uid="{00000000-0002-0000-1400-000003000000}"/>
    <dataValidation type="list" allowBlank="1" showInputMessage="1" showErrorMessage="1" sqref="O33 O65569 O131105 O196641 O262177 O327713 O393249 O458785 O524321 O589857 O655393 O720929 O786465 O852001 O917537 O983073 P29:R29 P65565:R65565 P131101:R131101 P196637:R196637 P262173:R262173 P327709:R327709 P393245:R393245 P458781:R458781 P524317:R524317 P589853:R589853 P655389:R655389 P720925:R720925 P786461:R786461 P851997:R851997 P917533:R917533 P983069:R983069 JK33 JK65569 JK131105 JK196641 JK262177 JK327713 JK393249 JK458785 JK524321 JK589857 JK655393 JK720929 JK786465 JK852001 JK917537 JK983073 JL29:JN29 JL65565:JN65565 JL131101:JN131101 JL196637:JN196637 JL262173:JN262173 JL327709:JN327709 JL393245:JN393245 JL458781:JN458781 JL524317:JN524317 JL589853:JN589853 JL655389:JN655389 JL720925:JN720925 JL786461:JN786461 JL851997:JN851997 JL917533:JN917533 JL983069:JN983069 TG33 TG65569 TG131105 TG196641 TG262177 TG327713 TG393249 TG458785 TG524321 TG589857 TG655393 TG720929 TG786465 TG852001 TG917537 TG983073 TH29:TJ29 TH65565:TJ65565 TH131101:TJ131101 TH196637:TJ196637 TH262173:TJ262173 TH327709:TJ327709 TH393245:TJ393245 TH458781:TJ458781 TH524317:TJ524317 TH589853:TJ589853 TH655389:TJ655389 TH720925:TJ720925 TH786461:TJ786461 TH851997:TJ851997 TH917533:TJ917533 TH983069:TJ983069 ADC33 ADC65569 ADC131105 ADC196641 ADC262177 ADC327713 ADC393249 ADC458785 ADC524321 ADC589857 ADC655393 ADC720929 ADC786465 ADC852001 ADC917537 ADC983073 ADD29:ADF29 ADD65565:ADF65565 ADD131101:ADF131101 ADD196637:ADF196637 ADD262173:ADF262173 ADD327709:ADF327709 ADD393245:ADF393245 ADD458781:ADF458781 ADD524317:ADF524317 ADD589853:ADF589853 ADD655389:ADF655389 ADD720925:ADF720925 ADD786461:ADF786461 ADD851997:ADF851997 ADD917533:ADF917533 ADD983069:ADF983069 AMY33 AMY65569 AMY131105 AMY196641 AMY262177 AMY327713 AMY393249 AMY458785 AMY524321 AMY589857 AMY655393 AMY720929 AMY786465 AMY852001 AMY917537 AMY983073 AMZ29:ANB29 AMZ65565:ANB65565 AMZ131101:ANB131101 AMZ196637:ANB196637 AMZ262173:ANB262173 AMZ327709:ANB327709 AMZ393245:ANB393245 AMZ458781:ANB458781 AMZ524317:ANB524317 AMZ589853:ANB589853 AMZ655389:ANB655389 AMZ720925:ANB720925 AMZ786461:ANB786461 AMZ851997:ANB851997 AMZ917533:ANB917533 AMZ983069:ANB983069 AWU33 AWU65569 AWU131105 AWU196641 AWU262177 AWU327713 AWU393249 AWU458785 AWU524321 AWU589857 AWU655393 AWU720929 AWU786465 AWU852001 AWU917537 AWU983073 AWV29:AWX29 AWV65565:AWX65565 AWV131101:AWX131101 AWV196637:AWX196637 AWV262173:AWX262173 AWV327709:AWX327709 AWV393245:AWX393245 AWV458781:AWX458781 AWV524317:AWX524317 AWV589853:AWX589853 AWV655389:AWX655389 AWV720925:AWX720925 AWV786461:AWX786461 AWV851997:AWX851997 AWV917533:AWX917533 AWV983069:AWX983069 BGQ33 BGQ65569 BGQ131105 BGQ196641 BGQ262177 BGQ327713 BGQ393249 BGQ458785 BGQ524321 BGQ589857 BGQ655393 BGQ720929 BGQ786465 BGQ852001 BGQ917537 BGQ983073 BGR29:BGT29 BGR65565:BGT65565 BGR131101:BGT131101 BGR196637:BGT196637 BGR262173:BGT262173 BGR327709:BGT327709 BGR393245:BGT393245 BGR458781:BGT458781 BGR524317:BGT524317 BGR589853:BGT589853 BGR655389:BGT655389 BGR720925:BGT720925 BGR786461:BGT786461 BGR851997:BGT851997 BGR917533:BGT917533 BGR983069:BGT983069 BQM33 BQM65569 BQM131105 BQM196641 BQM262177 BQM327713 BQM393249 BQM458785 BQM524321 BQM589857 BQM655393 BQM720929 BQM786465 BQM852001 BQM917537 BQM983073 BQN29:BQP29 BQN65565:BQP65565 BQN131101:BQP131101 BQN196637:BQP196637 BQN262173:BQP262173 BQN327709:BQP327709 BQN393245:BQP393245 BQN458781:BQP458781 BQN524317:BQP524317 BQN589853:BQP589853 BQN655389:BQP655389 BQN720925:BQP720925 BQN786461:BQP786461 BQN851997:BQP851997 BQN917533:BQP917533 BQN983069:BQP983069 CAI33 CAI65569 CAI131105 CAI196641 CAI262177 CAI327713 CAI393249 CAI458785 CAI524321 CAI589857 CAI655393 CAI720929 CAI786465 CAI852001 CAI917537 CAI983073 CAJ29:CAL29 CAJ65565:CAL65565 CAJ131101:CAL131101 CAJ196637:CAL196637 CAJ262173:CAL262173 CAJ327709:CAL327709 CAJ393245:CAL393245 CAJ458781:CAL458781 CAJ524317:CAL524317 CAJ589853:CAL589853 CAJ655389:CAL655389 CAJ720925:CAL720925 CAJ786461:CAL786461 CAJ851997:CAL851997 CAJ917533:CAL917533 CAJ983069:CAL983069 CKE33 CKE65569 CKE131105 CKE196641 CKE262177 CKE327713 CKE393249 CKE458785 CKE524321 CKE589857 CKE655393 CKE720929 CKE786465 CKE852001 CKE917537 CKE983073 CKF29:CKH29 CKF65565:CKH65565 CKF131101:CKH131101 CKF196637:CKH196637 CKF262173:CKH262173 CKF327709:CKH327709 CKF393245:CKH393245 CKF458781:CKH458781 CKF524317:CKH524317 CKF589853:CKH589853 CKF655389:CKH655389 CKF720925:CKH720925 CKF786461:CKH786461 CKF851997:CKH851997 CKF917533:CKH917533 CKF983069:CKH983069 CUA33 CUA65569 CUA131105 CUA196641 CUA262177 CUA327713 CUA393249 CUA458785 CUA524321 CUA589857 CUA655393 CUA720929 CUA786465 CUA852001 CUA917537 CUA983073 CUB29:CUD29 CUB65565:CUD65565 CUB131101:CUD131101 CUB196637:CUD196637 CUB262173:CUD262173 CUB327709:CUD327709 CUB393245:CUD393245 CUB458781:CUD458781 CUB524317:CUD524317 CUB589853:CUD589853 CUB655389:CUD655389 CUB720925:CUD720925 CUB786461:CUD786461 CUB851997:CUD851997 CUB917533:CUD917533 CUB983069:CUD983069 DDW33 DDW65569 DDW131105 DDW196641 DDW262177 DDW327713 DDW393249 DDW458785 DDW524321 DDW589857 DDW655393 DDW720929 DDW786465 DDW852001 DDW917537 DDW983073 DDX29:DDZ29 DDX65565:DDZ65565 DDX131101:DDZ131101 DDX196637:DDZ196637 DDX262173:DDZ262173 DDX327709:DDZ327709 DDX393245:DDZ393245 DDX458781:DDZ458781 DDX524317:DDZ524317 DDX589853:DDZ589853 DDX655389:DDZ655389 DDX720925:DDZ720925 DDX786461:DDZ786461 DDX851997:DDZ851997 DDX917533:DDZ917533 DDX983069:DDZ983069 DNS33 DNS65569 DNS131105 DNS196641 DNS262177 DNS327713 DNS393249 DNS458785 DNS524321 DNS589857 DNS655393 DNS720929 DNS786465 DNS852001 DNS917537 DNS983073 DNT29:DNV29 DNT65565:DNV65565 DNT131101:DNV131101 DNT196637:DNV196637 DNT262173:DNV262173 DNT327709:DNV327709 DNT393245:DNV393245 DNT458781:DNV458781 DNT524317:DNV524317 DNT589853:DNV589853 DNT655389:DNV655389 DNT720925:DNV720925 DNT786461:DNV786461 DNT851997:DNV851997 DNT917533:DNV917533 DNT983069:DNV983069 DXO33 DXO65569 DXO131105 DXO196641 DXO262177 DXO327713 DXO393249 DXO458785 DXO524321 DXO589857 DXO655393 DXO720929 DXO786465 DXO852001 DXO917537 DXO983073 DXP29:DXR29 DXP65565:DXR65565 DXP131101:DXR131101 DXP196637:DXR196637 DXP262173:DXR262173 DXP327709:DXR327709 DXP393245:DXR393245 DXP458781:DXR458781 DXP524317:DXR524317 DXP589853:DXR589853 DXP655389:DXR655389 DXP720925:DXR720925 DXP786461:DXR786461 DXP851997:DXR851997 DXP917533:DXR917533 DXP983069:DXR983069 EHK33 EHK65569 EHK131105 EHK196641 EHK262177 EHK327713 EHK393249 EHK458785 EHK524321 EHK589857 EHK655393 EHK720929 EHK786465 EHK852001 EHK917537 EHK983073 EHL29:EHN29 EHL65565:EHN65565 EHL131101:EHN131101 EHL196637:EHN196637 EHL262173:EHN262173 EHL327709:EHN327709 EHL393245:EHN393245 EHL458781:EHN458781 EHL524317:EHN524317 EHL589853:EHN589853 EHL655389:EHN655389 EHL720925:EHN720925 EHL786461:EHN786461 EHL851997:EHN851997 EHL917533:EHN917533 EHL983069:EHN983069 ERG33 ERG65569 ERG131105 ERG196641 ERG262177 ERG327713 ERG393249 ERG458785 ERG524321 ERG589857 ERG655393 ERG720929 ERG786465 ERG852001 ERG917537 ERG983073 ERH29:ERJ29 ERH65565:ERJ65565 ERH131101:ERJ131101 ERH196637:ERJ196637 ERH262173:ERJ262173 ERH327709:ERJ327709 ERH393245:ERJ393245 ERH458781:ERJ458781 ERH524317:ERJ524317 ERH589853:ERJ589853 ERH655389:ERJ655389 ERH720925:ERJ720925 ERH786461:ERJ786461 ERH851997:ERJ851997 ERH917533:ERJ917533 ERH983069:ERJ983069 FBC33 FBC65569 FBC131105 FBC196641 FBC262177 FBC327713 FBC393249 FBC458785 FBC524321 FBC589857 FBC655393 FBC720929 FBC786465 FBC852001 FBC917537 FBC983073 FBD29:FBF29 FBD65565:FBF65565 FBD131101:FBF131101 FBD196637:FBF196637 FBD262173:FBF262173 FBD327709:FBF327709 FBD393245:FBF393245 FBD458781:FBF458781 FBD524317:FBF524317 FBD589853:FBF589853 FBD655389:FBF655389 FBD720925:FBF720925 FBD786461:FBF786461 FBD851997:FBF851997 FBD917533:FBF917533 FBD983069:FBF983069 FKY33 FKY65569 FKY131105 FKY196641 FKY262177 FKY327713 FKY393249 FKY458785 FKY524321 FKY589857 FKY655393 FKY720929 FKY786465 FKY852001 FKY917537 FKY983073 FKZ29:FLB29 FKZ65565:FLB65565 FKZ131101:FLB131101 FKZ196637:FLB196637 FKZ262173:FLB262173 FKZ327709:FLB327709 FKZ393245:FLB393245 FKZ458781:FLB458781 FKZ524317:FLB524317 FKZ589853:FLB589853 FKZ655389:FLB655389 FKZ720925:FLB720925 FKZ786461:FLB786461 FKZ851997:FLB851997 FKZ917533:FLB917533 FKZ983069:FLB983069 FUU33 FUU65569 FUU131105 FUU196641 FUU262177 FUU327713 FUU393249 FUU458785 FUU524321 FUU589857 FUU655393 FUU720929 FUU786465 FUU852001 FUU917537 FUU983073 FUV29:FUX29 FUV65565:FUX65565 FUV131101:FUX131101 FUV196637:FUX196637 FUV262173:FUX262173 FUV327709:FUX327709 FUV393245:FUX393245 FUV458781:FUX458781 FUV524317:FUX524317 FUV589853:FUX589853 FUV655389:FUX655389 FUV720925:FUX720925 FUV786461:FUX786461 FUV851997:FUX851997 FUV917533:FUX917533 FUV983069:FUX983069 GEQ33 GEQ65569 GEQ131105 GEQ196641 GEQ262177 GEQ327713 GEQ393249 GEQ458785 GEQ524321 GEQ589857 GEQ655393 GEQ720929 GEQ786465 GEQ852001 GEQ917537 GEQ983073 GER29:GET29 GER65565:GET65565 GER131101:GET131101 GER196637:GET196637 GER262173:GET262173 GER327709:GET327709 GER393245:GET393245 GER458781:GET458781 GER524317:GET524317 GER589853:GET589853 GER655389:GET655389 GER720925:GET720925 GER786461:GET786461 GER851997:GET851997 GER917533:GET917533 GER983069:GET983069 GOM33 GOM65569 GOM131105 GOM196641 GOM262177 GOM327713 GOM393249 GOM458785 GOM524321 GOM589857 GOM655393 GOM720929 GOM786465 GOM852001 GOM917537 GOM983073 GON29:GOP29 GON65565:GOP65565 GON131101:GOP131101 GON196637:GOP196637 GON262173:GOP262173 GON327709:GOP327709 GON393245:GOP393245 GON458781:GOP458781 GON524317:GOP524317 GON589853:GOP589853 GON655389:GOP655389 GON720925:GOP720925 GON786461:GOP786461 GON851997:GOP851997 GON917533:GOP917533 GON983069:GOP983069 GYI33 GYI65569 GYI131105 GYI196641 GYI262177 GYI327713 GYI393249 GYI458785 GYI524321 GYI589857 GYI655393 GYI720929 GYI786465 GYI852001 GYI917537 GYI983073 GYJ29:GYL29 GYJ65565:GYL65565 GYJ131101:GYL131101 GYJ196637:GYL196637 GYJ262173:GYL262173 GYJ327709:GYL327709 GYJ393245:GYL393245 GYJ458781:GYL458781 GYJ524317:GYL524317 GYJ589853:GYL589853 GYJ655389:GYL655389 GYJ720925:GYL720925 GYJ786461:GYL786461 GYJ851997:GYL851997 GYJ917533:GYL917533 GYJ983069:GYL983069 HIE33 HIE65569 HIE131105 HIE196641 HIE262177 HIE327713 HIE393249 HIE458785 HIE524321 HIE589857 HIE655393 HIE720929 HIE786465 HIE852001 HIE917537 HIE983073 HIF29:HIH29 HIF65565:HIH65565 HIF131101:HIH131101 HIF196637:HIH196637 HIF262173:HIH262173 HIF327709:HIH327709 HIF393245:HIH393245 HIF458781:HIH458781 HIF524317:HIH524317 HIF589853:HIH589853 HIF655389:HIH655389 HIF720925:HIH720925 HIF786461:HIH786461 HIF851997:HIH851997 HIF917533:HIH917533 HIF983069:HIH983069 HSA33 HSA65569 HSA131105 HSA196641 HSA262177 HSA327713 HSA393249 HSA458785 HSA524321 HSA589857 HSA655393 HSA720929 HSA786465 HSA852001 HSA917537 HSA983073 HSB29:HSD29 HSB65565:HSD65565 HSB131101:HSD131101 HSB196637:HSD196637 HSB262173:HSD262173 HSB327709:HSD327709 HSB393245:HSD393245 HSB458781:HSD458781 HSB524317:HSD524317 HSB589853:HSD589853 HSB655389:HSD655389 HSB720925:HSD720925 HSB786461:HSD786461 HSB851997:HSD851997 HSB917533:HSD917533 HSB983069:HSD983069 IBW33 IBW65569 IBW131105 IBW196641 IBW262177 IBW327713 IBW393249 IBW458785 IBW524321 IBW589857 IBW655393 IBW720929 IBW786465 IBW852001 IBW917537 IBW983073 IBX29:IBZ29 IBX65565:IBZ65565 IBX131101:IBZ131101 IBX196637:IBZ196637 IBX262173:IBZ262173 IBX327709:IBZ327709 IBX393245:IBZ393245 IBX458781:IBZ458781 IBX524317:IBZ524317 IBX589853:IBZ589853 IBX655389:IBZ655389 IBX720925:IBZ720925 IBX786461:IBZ786461 IBX851997:IBZ851997 IBX917533:IBZ917533 IBX983069:IBZ983069 ILS33 ILS65569 ILS131105 ILS196641 ILS262177 ILS327713 ILS393249 ILS458785 ILS524321 ILS589857 ILS655393 ILS720929 ILS786465 ILS852001 ILS917537 ILS983073 ILT29:ILV29 ILT65565:ILV65565 ILT131101:ILV131101 ILT196637:ILV196637 ILT262173:ILV262173 ILT327709:ILV327709 ILT393245:ILV393245 ILT458781:ILV458781 ILT524317:ILV524317 ILT589853:ILV589853 ILT655389:ILV655389 ILT720925:ILV720925 ILT786461:ILV786461 ILT851997:ILV851997 ILT917533:ILV917533 ILT983069:ILV983069 IVO33 IVO65569 IVO131105 IVO196641 IVO262177 IVO327713 IVO393249 IVO458785 IVO524321 IVO589857 IVO655393 IVO720929 IVO786465 IVO852001 IVO917537 IVO983073 IVP29:IVR29 IVP65565:IVR65565 IVP131101:IVR131101 IVP196637:IVR196637 IVP262173:IVR262173 IVP327709:IVR327709 IVP393245:IVR393245 IVP458781:IVR458781 IVP524317:IVR524317 IVP589853:IVR589853 IVP655389:IVR655389 IVP720925:IVR720925 IVP786461:IVR786461 IVP851997:IVR851997 IVP917533:IVR917533 IVP983069:IVR983069 JFK33 JFK65569 JFK131105 JFK196641 JFK262177 JFK327713 JFK393249 JFK458785 JFK524321 JFK589857 JFK655393 JFK720929 JFK786465 JFK852001 JFK917537 JFK983073 JFL29:JFN29 JFL65565:JFN65565 JFL131101:JFN131101 JFL196637:JFN196637 JFL262173:JFN262173 JFL327709:JFN327709 JFL393245:JFN393245 JFL458781:JFN458781 JFL524317:JFN524317 JFL589853:JFN589853 JFL655389:JFN655389 JFL720925:JFN720925 JFL786461:JFN786461 JFL851997:JFN851997 JFL917533:JFN917533 JFL983069:JFN983069 JPG33 JPG65569 JPG131105 JPG196641 JPG262177 JPG327713 JPG393249 JPG458785 JPG524321 JPG589857 JPG655393 JPG720929 JPG786465 JPG852001 JPG917537 JPG983073 JPH29:JPJ29 JPH65565:JPJ65565 JPH131101:JPJ131101 JPH196637:JPJ196637 JPH262173:JPJ262173 JPH327709:JPJ327709 JPH393245:JPJ393245 JPH458781:JPJ458781 JPH524317:JPJ524317 JPH589853:JPJ589853 JPH655389:JPJ655389 JPH720925:JPJ720925 JPH786461:JPJ786461 JPH851997:JPJ851997 JPH917533:JPJ917533 JPH983069:JPJ983069 JZC33 JZC65569 JZC131105 JZC196641 JZC262177 JZC327713 JZC393249 JZC458785 JZC524321 JZC589857 JZC655393 JZC720929 JZC786465 JZC852001 JZC917537 JZC983073 JZD29:JZF29 JZD65565:JZF65565 JZD131101:JZF131101 JZD196637:JZF196637 JZD262173:JZF262173 JZD327709:JZF327709 JZD393245:JZF393245 JZD458781:JZF458781 JZD524317:JZF524317 JZD589853:JZF589853 JZD655389:JZF655389 JZD720925:JZF720925 JZD786461:JZF786461 JZD851997:JZF851997 JZD917533:JZF917533 JZD983069:JZF983069 KIY33 KIY65569 KIY131105 KIY196641 KIY262177 KIY327713 KIY393249 KIY458785 KIY524321 KIY589857 KIY655393 KIY720929 KIY786465 KIY852001 KIY917537 KIY983073 KIZ29:KJB29 KIZ65565:KJB65565 KIZ131101:KJB131101 KIZ196637:KJB196637 KIZ262173:KJB262173 KIZ327709:KJB327709 KIZ393245:KJB393245 KIZ458781:KJB458781 KIZ524317:KJB524317 KIZ589853:KJB589853 KIZ655389:KJB655389 KIZ720925:KJB720925 KIZ786461:KJB786461 KIZ851997:KJB851997 KIZ917533:KJB917533 KIZ983069:KJB983069 KSU33 KSU65569 KSU131105 KSU196641 KSU262177 KSU327713 KSU393249 KSU458785 KSU524321 KSU589857 KSU655393 KSU720929 KSU786465 KSU852001 KSU917537 KSU983073 KSV29:KSX29 KSV65565:KSX65565 KSV131101:KSX131101 KSV196637:KSX196637 KSV262173:KSX262173 KSV327709:KSX327709 KSV393245:KSX393245 KSV458781:KSX458781 KSV524317:KSX524317 KSV589853:KSX589853 KSV655389:KSX655389 KSV720925:KSX720925 KSV786461:KSX786461 KSV851997:KSX851997 KSV917533:KSX917533 KSV983069:KSX983069 LCQ33 LCQ65569 LCQ131105 LCQ196641 LCQ262177 LCQ327713 LCQ393249 LCQ458785 LCQ524321 LCQ589857 LCQ655393 LCQ720929 LCQ786465 LCQ852001 LCQ917537 LCQ983073 LCR29:LCT29 LCR65565:LCT65565 LCR131101:LCT131101 LCR196637:LCT196637 LCR262173:LCT262173 LCR327709:LCT327709 LCR393245:LCT393245 LCR458781:LCT458781 LCR524317:LCT524317 LCR589853:LCT589853 LCR655389:LCT655389 LCR720925:LCT720925 LCR786461:LCT786461 LCR851997:LCT851997 LCR917533:LCT917533 LCR983069:LCT983069 LMM33 LMM65569 LMM131105 LMM196641 LMM262177 LMM327713 LMM393249 LMM458785 LMM524321 LMM589857 LMM655393 LMM720929 LMM786465 LMM852001 LMM917537 LMM983073 LMN29:LMP29 LMN65565:LMP65565 LMN131101:LMP131101 LMN196637:LMP196637 LMN262173:LMP262173 LMN327709:LMP327709 LMN393245:LMP393245 LMN458781:LMP458781 LMN524317:LMP524317 LMN589853:LMP589853 LMN655389:LMP655389 LMN720925:LMP720925 LMN786461:LMP786461 LMN851997:LMP851997 LMN917533:LMP917533 LMN983069:LMP983069 LWI33 LWI65569 LWI131105 LWI196641 LWI262177 LWI327713 LWI393249 LWI458785 LWI524321 LWI589857 LWI655393 LWI720929 LWI786465 LWI852001 LWI917537 LWI983073 LWJ29:LWL29 LWJ65565:LWL65565 LWJ131101:LWL131101 LWJ196637:LWL196637 LWJ262173:LWL262173 LWJ327709:LWL327709 LWJ393245:LWL393245 LWJ458781:LWL458781 LWJ524317:LWL524317 LWJ589853:LWL589853 LWJ655389:LWL655389 LWJ720925:LWL720925 LWJ786461:LWL786461 LWJ851997:LWL851997 LWJ917533:LWL917533 LWJ983069:LWL983069 MGE33 MGE65569 MGE131105 MGE196641 MGE262177 MGE327713 MGE393249 MGE458785 MGE524321 MGE589857 MGE655393 MGE720929 MGE786465 MGE852001 MGE917537 MGE983073 MGF29:MGH29 MGF65565:MGH65565 MGF131101:MGH131101 MGF196637:MGH196637 MGF262173:MGH262173 MGF327709:MGH327709 MGF393245:MGH393245 MGF458781:MGH458781 MGF524317:MGH524317 MGF589853:MGH589853 MGF655389:MGH655389 MGF720925:MGH720925 MGF786461:MGH786461 MGF851997:MGH851997 MGF917533:MGH917533 MGF983069:MGH983069 MQA33 MQA65569 MQA131105 MQA196641 MQA262177 MQA327713 MQA393249 MQA458785 MQA524321 MQA589857 MQA655393 MQA720929 MQA786465 MQA852001 MQA917537 MQA983073 MQB29:MQD29 MQB65565:MQD65565 MQB131101:MQD131101 MQB196637:MQD196637 MQB262173:MQD262173 MQB327709:MQD327709 MQB393245:MQD393245 MQB458781:MQD458781 MQB524317:MQD524317 MQB589853:MQD589853 MQB655389:MQD655389 MQB720925:MQD720925 MQB786461:MQD786461 MQB851997:MQD851997 MQB917533:MQD917533 MQB983069:MQD983069 MZW33 MZW65569 MZW131105 MZW196641 MZW262177 MZW327713 MZW393249 MZW458785 MZW524321 MZW589857 MZW655393 MZW720929 MZW786465 MZW852001 MZW917537 MZW983073 MZX29:MZZ29 MZX65565:MZZ65565 MZX131101:MZZ131101 MZX196637:MZZ196637 MZX262173:MZZ262173 MZX327709:MZZ327709 MZX393245:MZZ393245 MZX458781:MZZ458781 MZX524317:MZZ524317 MZX589853:MZZ589853 MZX655389:MZZ655389 MZX720925:MZZ720925 MZX786461:MZZ786461 MZX851997:MZZ851997 MZX917533:MZZ917533 MZX983069:MZZ983069 NJS33 NJS65569 NJS131105 NJS196641 NJS262177 NJS327713 NJS393249 NJS458785 NJS524321 NJS589857 NJS655393 NJS720929 NJS786465 NJS852001 NJS917537 NJS983073 NJT29:NJV29 NJT65565:NJV65565 NJT131101:NJV131101 NJT196637:NJV196637 NJT262173:NJV262173 NJT327709:NJV327709 NJT393245:NJV393245 NJT458781:NJV458781 NJT524317:NJV524317 NJT589853:NJV589853 NJT655389:NJV655389 NJT720925:NJV720925 NJT786461:NJV786461 NJT851997:NJV851997 NJT917533:NJV917533 NJT983069:NJV983069 NTO33 NTO65569 NTO131105 NTO196641 NTO262177 NTO327713 NTO393249 NTO458785 NTO524321 NTO589857 NTO655393 NTO720929 NTO786465 NTO852001 NTO917537 NTO983073 NTP29:NTR29 NTP65565:NTR65565 NTP131101:NTR131101 NTP196637:NTR196637 NTP262173:NTR262173 NTP327709:NTR327709 NTP393245:NTR393245 NTP458781:NTR458781 NTP524317:NTR524317 NTP589853:NTR589853 NTP655389:NTR655389 NTP720925:NTR720925 NTP786461:NTR786461 NTP851997:NTR851997 NTP917533:NTR917533 NTP983069:NTR983069 ODK33 ODK65569 ODK131105 ODK196641 ODK262177 ODK327713 ODK393249 ODK458785 ODK524321 ODK589857 ODK655393 ODK720929 ODK786465 ODK852001 ODK917537 ODK983073 ODL29:ODN29 ODL65565:ODN65565 ODL131101:ODN131101 ODL196637:ODN196637 ODL262173:ODN262173 ODL327709:ODN327709 ODL393245:ODN393245 ODL458781:ODN458781 ODL524317:ODN524317 ODL589853:ODN589853 ODL655389:ODN655389 ODL720925:ODN720925 ODL786461:ODN786461 ODL851997:ODN851997 ODL917533:ODN917533 ODL983069:ODN983069 ONG33 ONG65569 ONG131105 ONG196641 ONG262177 ONG327713 ONG393249 ONG458785 ONG524321 ONG589857 ONG655393 ONG720929 ONG786465 ONG852001 ONG917537 ONG983073 ONH29:ONJ29 ONH65565:ONJ65565 ONH131101:ONJ131101 ONH196637:ONJ196637 ONH262173:ONJ262173 ONH327709:ONJ327709 ONH393245:ONJ393245 ONH458781:ONJ458781 ONH524317:ONJ524317 ONH589853:ONJ589853 ONH655389:ONJ655389 ONH720925:ONJ720925 ONH786461:ONJ786461 ONH851997:ONJ851997 ONH917533:ONJ917533 ONH983069:ONJ983069 OXC33 OXC65569 OXC131105 OXC196641 OXC262177 OXC327713 OXC393249 OXC458785 OXC524321 OXC589857 OXC655393 OXC720929 OXC786465 OXC852001 OXC917537 OXC983073 OXD29:OXF29 OXD65565:OXF65565 OXD131101:OXF131101 OXD196637:OXF196637 OXD262173:OXF262173 OXD327709:OXF327709 OXD393245:OXF393245 OXD458781:OXF458781 OXD524317:OXF524317 OXD589853:OXF589853 OXD655389:OXF655389 OXD720925:OXF720925 OXD786461:OXF786461 OXD851997:OXF851997 OXD917533:OXF917533 OXD983069:OXF983069 PGY33 PGY65569 PGY131105 PGY196641 PGY262177 PGY327713 PGY393249 PGY458785 PGY524321 PGY589857 PGY655393 PGY720929 PGY786465 PGY852001 PGY917537 PGY983073 PGZ29:PHB29 PGZ65565:PHB65565 PGZ131101:PHB131101 PGZ196637:PHB196637 PGZ262173:PHB262173 PGZ327709:PHB327709 PGZ393245:PHB393245 PGZ458781:PHB458781 PGZ524317:PHB524317 PGZ589853:PHB589853 PGZ655389:PHB655389 PGZ720925:PHB720925 PGZ786461:PHB786461 PGZ851997:PHB851997 PGZ917533:PHB917533 PGZ983069:PHB983069 PQU33 PQU65569 PQU131105 PQU196641 PQU262177 PQU327713 PQU393249 PQU458785 PQU524321 PQU589857 PQU655393 PQU720929 PQU786465 PQU852001 PQU917537 PQU983073 PQV29:PQX29 PQV65565:PQX65565 PQV131101:PQX131101 PQV196637:PQX196637 PQV262173:PQX262173 PQV327709:PQX327709 PQV393245:PQX393245 PQV458781:PQX458781 PQV524317:PQX524317 PQV589853:PQX589853 PQV655389:PQX655389 PQV720925:PQX720925 PQV786461:PQX786461 PQV851997:PQX851997 PQV917533:PQX917533 PQV983069:PQX983069 QAQ33 QAQ65569 QAQ131105 QAQ196641 QAQ262177 QAQ327713 QAQ393249 QAQ458785 QAQ524321 QAQ589857 QAQ655393 QAQ720929 QAQ786465 QAQ852001 QAQ917537 QAQ983073 QAR29:QAT29 QAR65565:QAT65565 QAR131101:QAT131101 QAR196637:QAT196637 QAR262173:QAT262173 QAR327709:QAT327709 QAR393245:QAT393245 QAR458781:QAT458781 QAR524317:QAT524317 QAR589853:QAT589853 QAR655389:QAT655389 QAR720925:QAT720925 QAR786461:QAT786461 QAR851997:QAT851997 QAR917533:QAT917533 QAR983069:QAT983069 QKM33 QKM65569 QKM131105 QKM196641 QKM262177 QKM327713 QKM393249 QKM458785 QKM524321 QKM589857 QKM655393 QKM720929 QKM786465 QKM852001 QKM917537 QKM983073 QKN29:QKP29 QKN65565:QKP65565 QKN131101:QKP131101 QKN196637:QKP196637 QKN262173:QKP262173 QKN327709:QKP327709 QKN393245:QKP393245 QKN458781:QKP458781 QKN524317:QKP524317 QKN589853:QKP589853 QKN655389:QKP655389 QKN720925:QKP720925 QKN786461:QKP786461 QKN851997:QKP851997 QKN917533:QKP917533 QKN983069:QKP983069 QUI33 QUI65569 QUI131105 QUI196641 QUI262177 QUI327713 QUI393249 QUI458785 QUI524321 QUI589857 QUI655393 QUI720929 QUI786465 QUI852001 QUI917537 QUI983073 QUJ29:QUL29 QUJ65565:QUL65565 QUJ131101:QUL131101 QUJ196637:QUL196637 QUJ262173:QUL262173 QUJ327709:QUL327709 QUJ393245:QUL393245 QUJ458781:QUL458781 QUJ524317:QUL524317 QUJ589853:QUL589853 QUJ655389:QUL655389 QUJ720925:QUL720925 QUJ786461:QUL786461 QUJ851997:QUL851997 QUJ917533:QUL917533 QUJ983069:QUL983069 REE33 REE65569 REE131105 REE196641 REE262177 REE327713 REE393249 REE458785 REE524321 REE589857 REE655393 REE720929 REE786465 REE852001 REE917537 REE983073 REF29:REH29 REF65565:REH65565 REF131101:REH131101 REF196637:REH196637 REF262173:REH262173 REF327709:REH327709 REF393245:REH393245 REF458781:REH458781 REF524317:REH524317 REF589853:REH589853 REF655389:REH655389 REF720925:REH720925 REF786461:REH786461 REF851997:REH851997 REF917533:REH917533 REF983069:REH983069 ROA33 ROA65569 ROA131105 ROA196641 ROA262177 ROA327713 ROA393249 ROA458785 ROA524321 ROA589857 ROA655393 ROA720929 ROA786465 ROA852001 ROA917537 ROA983073 ROB29:ROD29 ROB65565:ROD65565 ROB131101:ROD131101 ROB196637:ROD196637 ROB262173:ROD262173 ROB327709:ROD327709 ROB393245:ROD393245 ROB458781:ROD458781 ROB524317:ROD524317 ROB589853:ROD589853 ROB655389:ROD655389 ROB720925:ROD720925 ROB786461:ROD786461 ROB851997:ROD851997 ROB917533:ROD917533 ROB983069:ROD983069 RXW33 RXW65569 RXW131105 RXW196641 RXW262177 RXW327713 RXW393249 RXW458785 RXW524321 RXW589857 RXW655393 RXW720929 RXW786465 RXW852001 RXW917537 RXW983073 RXX29:RXZ29 RXX65565:RXZ65565 RXX131101:RXZ131101 RXX196637:RXZ196637 RXX262173:RXZ262173 RXX327709:RXZ327709 RXX393245:RXZ393245 RXX458781:RXZ458781 RXX524317:RXZ524317 RXX589853:RXZ589853 RXX655389:RXZ655389 RXX720925:RXZ720925 RXX786461:RXZ786461 RXX851997:RXZ851997 RXX917533:RXZ917533 RXX983069:RXZ983069 SHS33 SHS65569 SHS131105 SHS196641 SHS262177 SHS327713 SHS393249 SHS458785 SHS524321 SHS589857 SHS655393 SHS720929 SHS786465 SHS852001 SHS917537 SHS983073 SHT29:SHV29 SHT65565:SHV65565 SHT131101:SHV131101 SHT196637:SHV196637 SHT262173:SHV262173 SHT327709:SHV327709 SHT393245:SHV393245 SHT458781:SHV458781 SHT524317:SHV524317 SHT589853:SHV589853 SHT655389:SHV655389 SHT720925:SHV720925 SHT786461:SHV786461 SHT851997:SHV851997 SHT917533:SHV917533 SHT983069:SHV983069 SRO33 SRO65569 SRO131105 SRO196641 SRO262177 SRO327713 SRO393249 SRO458785 SRO524321 SRO589857 SRO655393 SRO720929 SRO786465 SRO852001 SRO917537 SRO983073 SRP29:SRR29 SRP65565:SRR65565 SRP131101:SRR131101 SRP196637:SRR196637 SRP262173:SRR262173 SRP327709:SRR327709 SRP393245:SRR393245 SRP458781:SRR458781 SRP524317:SRR524317 SRP589853:SRR589853 SRP655389:SRR655389 SRP720925:SRR720925 SRP786461:SRR786461 SRP851997:SRR851997 SRP917533:SRR917533 SRP983069:SRR983069 TBK33 TBK65569 TBK131105 TBK196641 TBK262177 TBK327713 TBK393249 TBK458785 TBK524321 TBK589857 TBK655393 TBK720929 TBK786465 TBK852001 TBK917537 TBK983073 TBL29:TBN29 TBL65565:TBN65565 TBL131101:TBN131101 TBL196637:TBN196637 TBL262173:TBN262173 TBL327709:TBN327709 TBL393245:TBN393245 TBL458781:TBN458781 TBL524317:TBN524317 TBL589853:TBN589853 TBL655389:TBN655389 TBL720925:TBN720925 TBL786461:TBN786461 TBL851997:TBN851997 TBL917533:TBN917533 TBL983069:TBN983069 TLG33 TLG65569 TLG131105 TLG196641 TLG262177 TLG327713 TLG393249 TLG458785 TLG524321 TLG589857 TLG655393 TLG720929 TLG786465 TLG852001 TLG917537 TLG983073 TLH29:TLJ29 TLH65565:TLJ65565 TLH131101:TLJ131101 TLH196637:TLJ196637 TLH262173:TLJ262173 TLH327709:TLJ327709 TLH393245:TLJ393245 TLH458781:TLJ458781 TLH524317:TLJ524317 TLH589853:TLJ589853 TLH655389:TLJ655389 TLH720925:TLJ720925 TLH786461:TLJ786461 TLH851997:TLJ851997 TLH917533:TLJ917533 TLH983069:TLJ983069 TVC33 TVC65569 TVC131105 TVC196641 TVC262177 TVC327713 TVC393249 TVC458785 TVC524321 TVC589857 TVC655393 TVC720929 TVC786465 TVC852001 TVC917537 TVC983073 TVD29:TVF29 TVD65565:TVF65565 TVD131101:TVF131101 TVD196637:TVF196637 TVD262173:TVF262173 TVD327709:TVF327709 TVD393245:TVF393245 TVD458781:TVF458781 TVD524317:TVF524317 TVD589853:TVF589853 TVD655389:TVF655389 TVD720925:TVF720925 TVD786461:TVF786461 TVD851997:TVF851997 TVD917533:TVF917533 TVD983069:TVF983069 UEY33 UEY65569 UEY131105 UEY196641 UEY262177 UEY327713 UEY393249 UEY458785 UEY524321 UEY589857 UEY655393 UEY720929 UEY786465 UEY852001 UEY917537 UEY983073 UEZ29:UFB29 UEZ65565:UFB65565 UEZ131101:UFB131101 UEZ196637:UFB196637 UEZ262173:UFB262173 UEZ327709:UFB327709 UEZ393245:UFB393245 UEZ458781:UFB458781 UEZ524317:UFB524317 UEZ589853:UFB589853 UEZ655389:UFB655389 UEZ720925:UFB720925 UEZ786461:UFB786461 UEZ851997:UFB851997 UEZ917533:UFB917533 UEZ983069:UFB983069 UOU33 UOU65569 UOU131105 UOU196641 UOU262177 UOU327713 UOU393249 UOU458785 UOU524321 UOU589857 UOU655393 UOU720929 UOU786465 UOU852001 UOU917537 UOU983073 UOV29:UOX29 UOV65565:UOX65565 UOV131101:UOX131101 UOV196637:UOX196637 UOV262173:UOX262173 UOV327709:UOX327709 UOV393245:UOX393245 UOV458781:UOX458781 UOV524317:UOX524317 UOV589853:UOX589853 UOV655389:UOX655389 UOV720925:UOX720925 UOV786461:UOX786461 UOV851997:UOX851997 UOV917533:UOX917533 UOV983069:UOX983069 UYQ33 UYQ65569 UYQ131105 UYQ196641 UYQ262177 UYQ327713 UYQ393249 UYQ458785 UYQ524321 UYQ589857 UYQ655393 UYQ720929 UYQ786465 UYQ852001 UYQ917537 UYQ983073 UYR29:UYT29 UYR65565:UYT65565 UYR131101:UYT131101 UYR196637:UYT196637 UYR262173:UYT262173 UYR327709:UYT327709 UYR393245:UYT393245 UYR458781:UYT458781 UYR524317:UYT524317 UYR589853:UYT589853 UYR655389:UYT655389 UYR720925:UYT720925 UYR786461:UYT786461 UYR851997:UYT851997 UYR917533:UYT917533 UYR983069:UYT983069 VIM33 VIM65569 VIM131105 VIM196641 VIM262177 VIM327713 VIM393249 VIM458785 VIM524321 VIM589857 VIM655393 VIM720929 VIM786465 VIM852001 VIM917537 VIM983073 VIN29:VIP29 VIN65565:VIP65565 VIN131101:VIP131101 VIN196637:VIP196637 VIN262173:VIP262173 VIN327709:VIP327709 VIN393245:VIP393245 VIN458781:VIP458781 VIN524317:VIP524317 VIN589853:VIP589853 VIN655389:VIP655389 VIN720925:VIP720925 VIN786461:VIP786461 VIN851997:VIP851997 VIN917533:VIP917533 VIN983069:VIP983069 VSI33 VSI65569 VSI131105 VSI196641 VSI262177 VSI327713 VSI393249 VSI458785 VSI524321 VSI589857 VSI655393 VSI720929 VSI786465 VSI852001 VSI917537 VSI983073 VSJ29:VSL29 VSJ65565:VSL65565 VSJ131101:VSL131101 VSJ196637:VSL196637 VSJ262173:VSL262173 VSJ327709:VSL327709 VSJ393245:VSL393245 VSJ458781:VSL458781 VSJ524317:VSL524317 VSJ589853:VSL589853 VSJ655389:VSL655389 VSJ720925:VSL720925 VSJ786461:VSL786461 VSJ851997:VSL851997 VSJ917533:VSL917533 VSJ983069:VSL983069 WCE33 WCE65569 WCE131105 WCE196641 WCE262177 WCE327713 WCE393249 WCE458785 WCE524321 WCE589857 WCE655393 WCE720929 WCE786465 WCE852001 WCE917537 WCE983073 WCF29:WCH29 WCF65565:WCH65565 WCF131101:WCH131101 WCF196637:WCH196637 WCF262173:WCH262173 WCF327709:WCH327709 WCF393245:WCH393245 WCF458781:WCH458781 WCF524317:WCH524317 WCF589853:WCH589853 WCF655389:WCH655389 WCF720925:WCH720925 WCF786461:WCH786461 WCF851997:WCH851997 WCF917533:WCH917533 WCF983069:WCH983069 WMA33 WMA65569 WMA131105 WMA196641 WMA262177 WMA327713 WMA393249 WMA458785 WMA524321 WMA589857 WMA655393 WMA720929 WMA786465 WMA852001 WMA917537 WMA983073 WMB29:WMD29 WMB65565:WMD65565 WMB131101:WMD131101 WMB196637:WMD196637 WMB262173:WMD262173 WMB327709:WMD327709 WMB393245:WMD393245 WMB458781:WMD458781 WMB524317:WMD524317 WMB589853:WMD589853 WMB655389:WMD655389 WMB720925:WMD720925 WMB786461:WMD786461 WMB851997:WMD851997 WMB917533:WMD917533 WMB983069:WMD983069 WVW33 WVW65569 WVW131105 WVW196641 WVW262177 WVW327713 WVW393249 WVW458785 WVW524321 WVW589857 WVW655393 WVW720929 WVW786465 WVW852001 WVW917537 WVW983073 WVX29:WVZ29 WVX65565:WVZ65565 WVX131101:WVZ131101 WVX196637:WVZ196637 WVX262173:WVZ262173 WVX327709:WVZ327709 WVX393245:WVZ393245 WVX458781:WVZ458781 WVX524317:WVZ524317 WVX589853:WVZ589853 WVX655389:WVZ655389 WVX720925:WVZ720925 WVX786461:WVZ786461 WVX851997:WVZ851997 WVX917533:WVZ917533 WVX983069:WVZ983069" xr:uid="{00000000-0002-0000-1400-000004000000}">
      <formula1>"　,１級,２級,木造"</formula1>
    </dataValidation>
    <dataValidation type="list" allowBlank="1" showInputMessage="1" sqref="V29:X29 V65565:X65565 V131101:X131101 V196637:X196637 V262173:X262173 V327709:X327709 V393245:X393245 V458781:X458781 V524317:X524317 V589853:X589853 V655389:X655389 V720925:X720925 V786461:X786461 V851997:X851997 V917533:X917533 V983069:X983069 JR29:JT29 JR65565:JT65565 JR131101:JT131101 JR196637:JT196637 JR262173:JT262173 JR327709:JT327709 JR393245:JT393245 JR458781:JT458781 JR524317:JT524317 JR589853:JT589853 JR655389:JT655389 JR720925:JT720925 JR786461:JT786461 JR851997:JT851997 JR917533:JT917533 JR983069:JT983069 TN29:TP29 TN65565:TP65565 TN131101:TP131101 TN196637:TP196637 TN262173:TP262173 TN327709:TP327709 TN393245:TP393245 TN458781:TP458781 TN524317:TP524317 TN589853:TP589853 TN655389:TP655389 TN720925:TP720925 TN786461:TP786461 TN851997:TP851997 TN917533:TP917533 TN983069:TP983069 ADJ29:ADL29 ADJ65565:ADL65565 ADJ131101:ADL131101 ADJ196637:ADL196637 ADJ262173:ADL262173 ADJ327709:ADL327709 ADJ393245:ADL393245 ADJ458781:ADL458781 ADJ524317:ADL524317 ADJ589853:ADL589853 ADJ655389:ADL655389 ADJ720925:ADL720925 ADJ786461:ADL786461 ADJ851997:ADL851997 ADJ917533:ADL917533 ADJ983069:ADL983069 ANF29:ANH29 ANF65565:ANH65565 ANF131101:ANH131101 ANF196637:ANH196637 ANF262173:ANH262173 ANF327709:ANH327709 ANF393245:ANH393245 ANF458781:ANH458781 ANF524317:ANH524317 ANF589853:ANH589853 ANF655389:ANH655389 ANF720925:ANH720925 ANF786461:ANH786461 ANF851997:ANH851997 ANF917533:ANH917533 ANF983069:ANH983069 AXB29:AXD29 AXB65565:AXD65565 AXB131101:AXD131101 AXB196637:AXD196637 AXB262173:AXD262173 AXB327709:AXD327709 AXB393245:AXD393245 AXB458781:AXD458781 AXB524317:AXD524317 AXB589853:AXD589853 AXB655389:AXD655389 AXB720925:AXD720925 AXB786461:AXD786461 AXB851997:AXD851997 AXB917533:AXD917533 AXB983069:AXD983069 BGX29:BGZ29 BGX65565:BGZ65565 BGX131101:BGZ131101 BGX196637:BGZ196637 BGX262173:BGZ262173 BGX327709:BGZ327709 BGX393245:BGZ393245 BGX458781:BGZ458781 BGX524317:BGZ524317 BGX589853:BGZ589853 BGX655389:BGZ655389 BGX720925:BGZ720925 BGX786461:BGZ786461 BGX851997:BGZ851997 BGX917533:BGZ917533 BGX983069:BGZ983069 BQT29:BQV29 BQT65565:BQV65565 BQT131101:BQV131101 BQT196637:BQV196637 BQT262173:BQV262173 BQT327709:BQV327709 BQT393245:BQV393245 BQT458781:BQV458781 BQT524317:BQV524317 BQT589853:BQV589853 BQT655389:BQV655389 BQT720925:BQV720925 BQT786461:BQV786461 BQT851997:BQV851997 BQT917533:BQV917533 BQT983069:BQV983069 CAP29:CAR29 CAP65565:CAR65565 CAP131101:CAR131101 CAP196637:CAR196637 CAP262173:CAR262173 CAP327709:CAR327709 CAP393245:CAR393245 CAP458781:CAR458781 CAP524317:CAR524317 CAP589853:CAR589853 CAP655389:CAR655389 CAP720925:CAR720925 CAP786461:CAR786461 CAP851997:CAR851997 CAP917533:CAR917533 CAP983069:CAR983069 CKL29:CKN29 CKL65565:CKN65565 CKL131101:CKN131101 CKL196637:CKN196637 CKL262173:CKN262173 CKL327709:CKN327709 CKL393245:CKN393245 CKL458781:CKN458781 CKL524317:CKN524317 CKL589853:CKN589853 CKL655389:CKN655389 CKL720925:CKN720925 CKL786461:CKN786461 CKL851997:CKN851997 CKL917533:CKN917533 CKL983069:CKN983069 CUH29:CUJ29 CUH65565:CUJ65565 CUH131101:CUJ131101 CUH196637:CUJ196637 CUH262173:CUJ262173 CUH327709:CUJ327709 CUH393245:CUJ393245 CUH458781:CUJ458781 CUH524317:CUJ524317 CUH589853:CUJ589853 CUH655389:CUJ655389 CUH720925:CUJ720925 CUH786461:CUJ786461 CUH851997:CUJ851997 CUH917533:CUJ917533 CUH983069:CUJ983069 DED29:DEF29 DED65565:DEF65565 DED131101:DEF131101 DED196637:DEF196637 DED262173:DEF262173 DED327709:DEF327709 DED393245:DEF393245 DED458781:DEF458781 DED524317:DEF524317 DED589853:DEF589853 DED655389:DEF655389 DED720925:DEF720925 DED786461:DEF786461 DED851997:DEF851997 DED917533:DEF917533 DED983069:DEF983069 DNZ29:DOB29 DNZ65565:DOB65565 DNZ131101:DOB131101 DNZ196637:DOB196637 DNZ262173:DOB262173 DNZ327709:DOB327709 DNZ393245:DOB393245 DNZ458781:DOB458781 DNZ524317:DOB524317 DNZ589853:DOB589853 DNZ655389:DOB655389 DNZ720925:DOB720925 DNZ786461:DOB786461 DNZ851997:DOB851997 DNZ917533:DOB917533 DNZ983069:DOB983069 DXV29:DXX29 DXV65565:DXX65565 DXV131101:DXX131101 DXV196637:DXX196637 DXV262173:DXX262173 DXV327709:DXX327709 DXV393245:DXX393245 DXV458781:DXX458781 DXV524317:DXX524317 DXV589853:DXX589853 DXV655389:DXX655389 DXV720925:DXX720925 DXV786461:DXX786461 DXV851997:DXX851997 DXV917533:DXX917533 DXV983069:DXX983069 EHR29:EHT29 EHR65565:EHT65565 EHR131101:EHT131101 EHR196637:EHT196637 EHR262173:EHT262173 EHR327709:EHT327709 EHR393245:EHT393245 EHR458781:EHT458781 EHR524317:EHT524317 EHR589853:EHT589853 EHR655389:EHT655389 EHR720925:EHT720925 EHR786461:EHT786461 EHR851997:EHT851997 EHR917533:EHT917533 EHR983069:EHT983069 ERN29:ERP29 ERN65565:ERP65565 ERN131101:ERP131101 ERN196637:ERP196637 ERN262173:ERP262173 ERN327709:ERP327709 ERN393245:ERP393245 ERN458781:ERP458781 ERN524317:ERP524317 ERN589853:ERP589853 ERN655389:ERP655389 ERN720925:ERP720925 ERN786461:ERP786461 ERN851997:ERP851997 ERN917533:ERP917533 ERN983069:ERP983069 FBJ29:FBL29 FBJ65565:FBL65565 FBJ131101:FBL131101 FBJ196637:FBL196637 FBJ262173:FBL262173 FBJ327709:FBL327709 FBJ393245:FBL393245 FBJ458781:FBL458781 FBJ524317:FBL524317 FBJ589853:FBL589853 FBJ655389:FBL655389 FBJ720925:FBL720925 FBJ786461:FBL786461 FBJ851997:FBL851997 FBJ917533:FBL917533 FBJ983069:FBL983069 FLF29:FLH29 FLF65565:FLH65565 FLF131101:FLH131101 FLF196637:FLH196637 FLF262173:FLH262173 FLF327709:FLH327709 FLF393245:FLH393245 FLF458781:FLH458781 FLF524317:FLH524317 FLF589853:FLH589853 FLF655389:FLH655389 FLF720925:FLH720925 FLF786461:FLH786461 FLF851997:FLH851997 FLF917533:FLH917533 FLF983069:FLH983069 FVB29:FVD29 FVB65565:FVD65565 FVB131101:FVD131101 FVB196637:FVD196637 FVB262173:FVD262173 FVB327709:FVD327709 FVB393245:FVD393245 FVB458781:FVD458781 FVB524317:FVD524317 FVB589853:FVD589853 FVB655389:FVD655389 FVB720925:FVD720925 FVB786461:FVD786461 FVB851997:FVD851997 FVB917533:FVD917533 FVB983069:FVD983069 GEX29:GEZ29 GEX65565:GEZ65565 GEX131101:GEZ131101 GEX196637:GEZ196637 GEX262173:GEZ262173 GEX327709:GEZ327709 GEX393245:GEZ393245 GEX458781:GEZ458781 GEX524317:GEZ524317 GEX589853:GEZ589853 GEX655389:GEZ655389 GEX720925:GEZ720925 GEX786461:GEZ786461 GEX851997:GEZ851997 GEX917533:GEZ917533 GEX983069:GEZ983069 GOT29:GOV29 GOT65565:GOV65565 GOT131101:GOV131101 GOT196637:GOV196637 GOT262173:GOV262173 GOT327709:GOV327709 GOT393245:GOV393245 GOT458781:GOV458781 GOT524317:GOV524317 GOT589853:GOV589853 GOT655389:GOV655389 GOT720925:GOV720925 GOT786461:GOV786461 GOT851997:GOV851997 GOT917533:GOV917533 GOT983069:GOV983069 GYP29:GYR29 GYP65565:GYR65565 GYP131101:GYR131101 GYP196637:GYR196637 GYP262173:GYR262173 GYP327709:GYR327709 GYP393245:GYR393245 GYP458781:GYR458781 GYP524317:GYR524317 GYP589853:GYR589853 GYP655389:GYR655389 GYP720925:GYR720925 GYP786461:GYR786461 GYP851997:GYR851997 GYP917533:GYR917533 GYP983069:GYR983069 HIL29:HIN29 HIL65565:HIN65565 HIL131101:HIN131101 HIL196637:HIN196637 HIL262173:HIN262173 HIL327709:HIN327709 HIL393245:HIN393245 HIL458781:HIN458781 HIL524317:HIN524317 HIL589853:HIN589853 HIL655389:HIN655389 HIL720925:HIN720925 HIL786461:HIN786461 HIL851997:HIN851997 HIL917533:HIN917533 HIL983069:HIN983069 HSH29:HSJ29 HSH65565:HSJ65565 HSH131101:HSJ131101 HSH196637:HSJ196637 HSH262173:HSJ262173 HSH327709:HSJ327709 HSH393245:HSJ393245 HSH458781:HSJ458781 HSH524317:HSJ524317 HSH589853:HSJ589853 HSH655389:HSJ655389 HSH720925:HSJ720925 HSH786461:HSJ786461 HSH851997:HSJ851997 HSH917533:HSJ917533 HSH983069:HSJ983069 ICD29:ICF29 ICD65565:ICF65565 ICD131101:ICF131101 ICD196637:ICF196637 ICD262173:ICF262173 ICD327709:ICF327709 ICD393245:ICF393245 ICD458781:ICF458781 ICD524317:ICF524317 ICD589853:ICF589853 ICD655389:ICF655389 ICD720925:ICF720925 ICD786461:ICF786461 ICD851997:ICF851997 ICD917533:ICF917533 ICD983069:ICF983069 ILZ29:IMB29 ILZ65565:IMB65565 ILZ131101:IMB131101 ILZ196637:IMB196637 ILZ262173:IMB262173 ILZ327709:IMB327709 ILZ393245:IMB393245 ILZ458781:IMB458781 ILZ524317:IMB524317 ILZ589853:IMB589853 ILZ655389:IMB655389 ILZ720925:IMB720925 ILZ786461:IMB786461 ILZ851997:IMB851997 ILZ917533:IMB917533 ILZ983069:IMB983069 IVV29:IVX29 IVV65565:IVX65565 IVV131101:IVX131101 IVV196637:IVX196637 IVV262173:IVX262173 IVV327709:IVX327709 IVV393245:IVX393245 IVV458781:IVX458781 IVV524317:IVX524317 IVV589853:IVX589853 IVV655389:IVX655389 IVV720925:IVX720925 IVV786461:IVX786461 IVV851997:IVX851997 IVV917533:IVX917533 IVV983069:IVX983069 JFR29:JFT29 JFR65565:JFT65565 JFR131101:JFT131101 JFR196637:JFT196637 JFR262173:JFT262173 JFR327709:JFT327709 JFR393245:JFT393245 JFR458781:JFT458781 JFR524317:JFT524317 JFR589853:JFT589853 JFR655389:JFT655389 JFR720925:JFT720925 JFR786461:JFT786461 JFR851997:JFT851997 JFR917533:JFT917533 JFR983069:JFT983069 JPN29:JPP29 JPN65565:JPP65565 JPN131101:JPP131101 JPN196637:JPP196637 JPN262173:JPP262173 JPN327709:JPP327709 JPN393245:JPP393245 JPN458781:JPP458781 JPN524317:JPP524317 JPN589853:JPP589853 JPN655389:JPP655389 JPN720925:JPP720925 JPN786461:JPP786461 JPN851997:JPP851997 JPN917533:JPP917533 JPN983069:JPP983069 JZJ29:JZL29 JZJ65565:JZL65565 JZJ131101:JZL131101 JZJ196637:JZL196637 JZJ262173:JZL262173 JZJ327709:JZL327709 JZJ393245:JZL393245 JZJ458781:JZL458781 JZJ524317:JZL524317 JZJ589853:JZL589853 JZJ655389:JZL655389 JZJ720925:JZL720925 JZJ786461:JZL786461 JZJ851997:JZL851997 JZJ917533:JZL917533 JZJ983069:JZL983069 KJF29:KJH29 KJF65565:KJH65565 KJF131101:KJH131101 KJF196637:KJH196637 KJF262173:KJH262173 KJF327709:KJH327709 KJF393245:KJH393245 KJF458781:KJH458781 KJF524317:KJH524317 KJF589853:KJH589853 KJF655389:KJH655389 KJF720925:KJH720925 KJF786461:KJH786461 KJF851997:KJH851997 KJF917533:KJH917533 KJF983069:KJH983069 KTB29:KTD29 KTB65565:KTD65565 KTB131101:KTD131101 KTB196637:KTD196637 KTB262173:KTD262173 KTB327709:KTD327709 KTB393245:KTD393245 KTB458781:KTD458781 KTB524317:KTD524317 KTB589853:KTD589853 KTB655389:KTD655389 KTB720925:KTD720925 KTB786461:KTD786461 KTB851997:KTD851997 KTB917533:KTD917533 KTB983069:KTD983069 LCX29:LCZ29 LCX65565:LCZ65565 LCX131101:LCZ131101 LCX196637:LCZ196637 LCX262173:LCZ262173 LCX327709:LCZ327709 LCX393245:LCZ393245 LCX458781:LCZ458781 LCX524317:LCZ524317 LCX589853:LCZ589853 LCX655389:LCZ655389 LCX720925:LCZ720925 LCX786461:LCZ786461 LCX851997:LCZ851997 LCX917533:LCZ917533 LCX983069:LCZ983069 LMT29:LMV29 LMT65565:LMV65565 LMT131101:LMV131101 LMT196637:LMV196637 LMT262173:LMV262173 LMT327709:LMV327709 LMT393245:LMV393245 LMT458781:LMV458781 LMT524317:LMV524317 LMT589853:LMV589853 LMT655389:LMV655389 LMT720925:LMV720925 LMT786461:LMV786461 LMT851997:LMV851997 LMT917533:LMV917533 LMT983069:LMV983069 LWP29:LWR29 LWP65565:LWR65565 LWP131101:LWR131101 LWP196637:LWR196637 LWP262173:LWR262173 LWP327709:LWR327709 LWP393245:LWR393245 LWP458781:LWR458781 LWP524317:LWR524317 LWP589853:LWR589853 LWP655389:LWR655389 LWP720925:LWR720925 LWP786461:LWR786461 LWP851997:LWR851997 LWP917533:LWR917533 LWP983069:LWR983069 MGL29:MGN29 MGL65565:MGN65565 MGL131101:MGN131101 MGL196637:MGN196637 MGL262173:MGN262173 MGL327709:MGN327709 MGL393245:MGN393245 MGL458781:MGN458781 MGL524317:MGN524317 MGL589853:MGN589853 MGL655389:MGN655389 MGL720925:MGN720925 MGL786461:MGN786461 MGL851997:MGN851997 MGL917533:MGN917533 MGL983069:MGN983069 MQH29:MQJ29 MQH65565:MQJ65565 MQH131101:MQJ131101 MQH196637:MQJ196637 MQH262173:MQJ262173 MQH327709:MQJ327709 MQH393245:MQJ393245 MQH458781:MQJ458781 MQH524317:MQJ524317 MQH589853:MQJ589853 MQH655389:MQJ655389 MQH720925:MQJ720925 MQH786461:MQJ786461 MQH851997:MQJ851997 MQH917533:MQJ917533 MQH983069:MQJ983069 NAD29:NAF29 NAD65565:NAF65565 NAD131101:NAF131101 NAD196637:NAF196637 NAD262173:NAF262173 NAD327709:NAF327709 NAD393245:NAF393245 NAD458781:NAF458781 NAD524317:NAF524317 NAD589853:NAF589853 NAD655389:NAF655389 NAD720925:NAF720925 NAD786461:NAF786461 NAD851997:NAF851997 NAD917533:NAF917533 NAD983069:NAF983069 NJZ29:NKB29 NJZ65565:NKB65565 NJZ131101:NKB131101 NJZ196637:NKB196637 NJZ262173:NKB262173 NJZ327709:NKB327709 NJZ393245:NKB393245 NJZ458781:NKB458781 NJZ524317:NKB524317 NJZ589853:NKB589853 NJZ655389:NKB655389 NJZ720925:NKB720925 NJZ786461:NKB786461 NJZ851997:NKB851997 NJZ917533:NKB917533 NJZ983069:NKB983069 NTV29:NTX29 NTV65565:NTX65565 NTV131101:NTX131101 NTV196637:NTX196637 NTV262173:NTX262173 NTV327709:NTX327709 NTV393245:NTX393245 NTV458781:NTX458781 NTV524317:NTX524317 NTV589853:NTX589853 NTV655389:NTX655389 NTV720925:NTX720925 NTV786461:NTX786461 NTV851997:NTX851997 NTV917533:NTX917533 NTV983069:NTX983069 ODR29:ODT29 ODR65565:ODT65565 ODR131101:ODT131101 ODR196637:ODT196637 ODR262173:ODT262173 ODR327709:ODT327709 ODR393245:ODT393245 ODR458781:ODT458781 ODR524317:ODT524317 ODR589853:ODT589853 ODR655389:ODT655389 ODR720925:ODT720925 ODR786461:ODT786461 ODR851997:ODT851997 ODR917533:ODT917533 ODR983069:ODT983069 ONN29:ONP29 ONN65565:ONP65565 ONN131101:ONP131101 ONN196637:ONP196637 ONN262173:ONP262173 ONN327709:ONP327709 ONN393245:ONP393245 ONN458781:ONP458781 ONN524317:ONP524317 ONN589853:ONP589853 ONN655389:ONP655389 ONN720925:ONP720925 ONN786461:ONP786461 ONN851997:ONP851997 ONN917533:ONP917533 ONN983069:ONP983069 OXJ29:OXL29 OXJ65565:OXL65565 OXJ131101:OXL131101 OXJ196637:OXL196637 OXJ262173:OXL262173 OXJ327709:OXL327709 OXJ393245:OXL393245 OXJ458781:OXL458781 OXJ524317:OXL524317 OXJ589853:OXL589853 OXJ655389:OXL655389 OXJ720925:OXL720925 OXJ786461:OXL786461 OXJ851997:OXL851997 OXJ917533:OXL917533 OXJ983069:OXL983069 PHF29:PHH29 PHF65565:PHH65565 PHF131101:PHH131101 PHF196637:PHH196637 PHF262173:PHH262173 PHF327709:PHH327709 PHF393245:PHH393245 PHF458781:PHH458781 PHF524317:PHH524317 PHF589853:PHH589853 PHF655389:PHH655389 PHF720925:PHH720925 PHF786461:PHH786461 PHF851997:PHH851997 PHF917533:PHH917533 PHF983069:PHH983069 PRB29:PRD29 PRB65565:PRD65565 PRB131101:PRD131101 PRB196637:PRD196637 PRB262173:PRD262173 PRB327709:PRD327709 PRB393245:PRD393245 PRB458781:PRD458781 PRB524317:PRD524317 PRB589853:PRD589853 PRB655389:PRD655389 PRB720925:PRD720925 PRB786461:PRD786461 PRB851997:PRD851997 PRB917533:PRD917533 PRB983069:PRD983069 QAX29:QAZ29 QAX65565:QAZ65565 QAX131101:QAZ131101 QAX196637:QAZ196637 QAX262173:QAZ262173 QAX327709:QAZ327709 QAX393245:QAZ393245 QAX458781:QAZ458781 QAX524317:QAZ524317 QAX589853:QAZ589853 QAX655389:QAZ655389 QAX720925:QAZ720925 QAX786461:QAZ786461 QAX851997:QAZ851997 QAX917533:QAZ917533 QAX983069:QAZ983069 QKT29:QKV29 QKT65565:QKV65565 QKT131101:QKV131101 QKT196637:QKV196637 QKT262173:QKV262173 QKT327709:QKV327709 QKT393245:QKV393245 QKT458781:QKV458781 QKT524317:QKV524317 QKT589853:QKV589853 QKT655389:QKV655389 QKT720925:QKV720925 QKT786461:QKV786461 QKT851997:QKV851997 QKT917533:QKV917533 QKT983069:QKV983069 QUP29:QUR29 QUP65565:QUR65565 QUP131101:QUR131101 QUP196637:QUR196637 QUP262173:QUR262173 QUP327709:QUR327709 QUP393245:QUR393245 QUP458781:QUR458781 QUP524317:QUR524317 QUP589853:QUR589853 QUP655389:QUR655389 QUP720925:QUR720925 QUP786461:QUR786461 QUP851997:QUR851997 QUP917533:QUR917533 QUP983069:QUR983069 REL29:REN29 REL65565:REN65565 REL131101:REN131101 REL196637:REN196637 REL262173:REN262173 REL327709:REN327709 REL393245:REN393245 REL458781:REN458781 REL524317:REN524317 REL589853:REN589853 REL655389:REN655389 REL720925:REN720925 REL786461:REN786461 REL851997:REN851997 REL917533:REN917533 REL983069:REN983069 ROH29:ROJ29 ROH65565:ROJ65565 ROH131101:ROJ131101 ROH196637:ROJ196637 ROH262173:ROJ262173 ROH327709:ROJ327709 ROH393245:ROJ393245 ROH458781:ROJ458781 ROH524317:ROJ524317 ROH589853:ROJ589853 ROH655389:ROJ655389 ROH720925:ROJ720925 ROH786461:ROJ786461 ROH851997:ROJ851997 ROH917533:ROJ917533 ROH983069:ROJ983069 RYD29:RYF29 RYD65565:RYF65565 RYD131101:RYF131101 RYD196637:RYF196637 RYD262173:RYF262173 RYD327709:RYF327709 RYD393245:RYF393245 RYD458781:RYF458781 RYD524317:RYF524317 RYD589853:RYF589853 RYD655389:RYF655389 RYD720925:RYF720925 RYD786461:RYF786461 RYD851997:RYF851997 RYD917533:RYF917533 RYD983069:RYF983069 SHZ29:SIB29 SHZ65565:SIB65565 SHZ131101:SIB131101 SHZ196637:SIB196637 SHZ262173:SIB262173 SHZ327709:SIB327709 SHZ393245:SIB393245 SHZ458781:SIB458781 SHZ524317:SIB524317 SHZ589853:SIB589853 SHZ655389:SIB655389 SHZ720925:SIB720925 SHZ786461:SIB786461 SHZ851997:SIB851997 SHZ917533:SIB917533 SHZ983069:SIB983069 SRV29:SRX29 SRV65565:SRX65565 SRV131101:SRX131101 SRV196637:SRX196637 SRV262173:SRX262173 SRV327709:SRX327709 SRV393245:SRX393245 SRV458781:SRX458781 SRV524317:SRX524317 SRV589853:SRX589853 SRV655389:SRX655389 SRV720925:SRX720925 SRV786461:SRX786461 SRV851997:SRX851997 SRV917533:SRX917533 SRV983069:SRX983069 TBR29:TBT29 TBR65565:TBT65565 TBR131101:TBT131101 TBR196637:TBT196637 TBR262173:TBT262173 TBR327709:TBT327709 TBR393245:TBT393245 TBR458781:TBT458781 TBR524317:TBT524317 TBR589853:TBT589853 TBR655389:TBT655389 TBR720925:TBT720925 TBR786461:TBT786461 TBR851997:TBT851997 TBR917533:TBT917533 TBR983069:TBT983069 TLN29:TLP29 TLN65565:TLP65565 TLN131101:TLP131101 TLN196637:TLP196637 TLN262173:TLP262173 TLN327709:TLP327709 TLN393245:TLP393245 TLN458781:TLP458781 TLN524317:TLP524317 TLN589853:TLP589853 TLN655389:TLP655389 TLN720925:TLP720925 TLN786461:TLP786461 TLN851997:TLP851997 TLN917533:TLP917533 TLN983069:TLP983069 TVJ29:TVL29 TVJ65565:TVL65565 TVJ131101:TVL131101 TVJ196637:TVL196637 TVJ262173:TVL262173 TVJ327709:TVL327709 TVJ393245:TVL393245 TVJ458781:TVL458781 TVJ524317:TVL524317 TVJ589853:TVL589853 TVJ655389:TVL655389 TVJ720925:TVL720925 TVJ786461:TVL786461 TVJ851997:TVL851997 TVJ917533:TVL917533 TVJ983069:TVL983069 UFF29:UFH29 UFF65565:UFH65565 UFF131101:UFH131101 UFF196637:UFH196637 UFF262173:UFH262173 UFF327709:UFH327709 UFF393245:UFH393245 UFF458781:UFH458781 UFF524317:UFH524317 UFF589853:UFH589853 UFF655389:UFH655389 UFF720925:UFH720925 UFF786461:UFH786461 UFF851997:UFH851997 UFF917533:UFH917533 UFF983069:UFH983069 UPB29:UPD29 UPB65565:UPD65565 UPB131101:UPD131101 UPB196637:UPD196637 UPB262173:UPD262173 UPB327709:UPD327709 UPB393245:UPD393245 UPB458781:UPD458781 UPB524317:UPD524317 UPB589853:UPD589853 UPB655389:UPD655389 UPB720925:UPD720925 UPB786461:UPD786461 UPB851997:UPD851997 UPB917533:UPD917533 UPB983069:UPD983069 UYX29:UYZ29 UYX65565:UYZ65565 UYX131101:UYZ131101 UYX196637:UYZ196637 UYX262173:UYZ262173 UYX327709:UYZ327709 UYX393245:UYZ393245 UYX458781:UYZ458781 UYX524317:UYZ524317 UYX589853:UYZ589853 UYX655389:UYZ655389 UYX720925:UYZ720925 UYX786461:UYZ786461 UYX851997:UYZ851997 UYX917533:UYZ917533 UYX983069:UYZ983069 VIT29:VIV29 VIT65565:VIV65565 VIT131101:VIV131101 VIT196637:VIV196637 VIT262173:VIV262173 VIT327709:VIV327709 VIT393245:VIV393245 VIT458781:VIV458781 VIT524317:VIV524317 VIT589853:VIV589853 VIT655389:VIV655389 VIT720925:VIV720925 VIT786461:VIV786461 VIT851997:VIV851997 VIT917533:VIV917533 VIT983069:VIV983069 VSP29:VSR29 VSP65565:VSR65565 VSP131101:VSR131101 VSP196637:VSR196637 VSP262173:VSR262173 VSP327709:VSR327709 VSP393245:VSR393245 VSP458781:VSR458781 VSP524317:VSR524317 VSP589853:VSR589853 VSP655389:VSR655389 VSP720925:VSR720925 VSP786461:VSR786461 VSP851997:VSR851997 VSP917533:VSR917533 VSP983069:VSR983069 WCL29:WCN29 WCL65565:WCN65565 WCL131101:WCN131101 WCL196637:WCN196637 WCL262173:WCN262173 WCL327709:WCN327709 WCL393245:WCN393245 WCL458781:WCN458781 WCL524317:WCN524317 WCL589853:WCN589853 WCL655389:WCN655389 WCL720925:WCN720925 WCL786461:WCN786461 WCL851997:WCN851997 WCL917533:WCN917533 WCL983069:WCN983069 WMH29:WMJ29 WMH65565:WMJ65565 WMH131101:WMJ131101 WMH196637:WMJ196637 WMH262173:WMJ262173 WMH327709:WMJ327709 WMH393245:WMJ393245 WMH458781:WMJ458781 WMH524317:WMJ524317 WMH589853:WMJ589853 WMH655389:WMJ655389 WMH720925:WMJ720925 WMH786461:WMJ786461 WMH851997:WMJ851997 WMH917533:WMJ917533 WMH983069:WMJ983069 WWD29:WWF29 WWD65565:WWF65565 WWD131101:WWF131101 WWD196637:WWF196637 WWD262173:WWF262173 WWD327709:WWF327709 WWD393245:WWF393245 WWD458781:WWF458781 WWD524317:WWF524317 WWD589853:WWF589853 WWD655389:WWF655389 WWD720925:WWF720925 WWD786461:WWF786461 WWD851997:WWF851997 WWD917533:WWF917533 WWD983069:WWF983069" xr:uid="{00000000-0002-0000-1400-000005000000}">
      <formula1>"  　,大臣,愛知県知事"</formula1>
    </dataValidation>
    <dataValidation type="list" allowBlank="1" showInputMessage="1" sqref="U33:V33 U65569:V65569 U131105:V131105 U196641:V196641 U262177:V262177 U327713:V327713 U393249:V393249 U458785:V458785 U524321:V524321 U589857:V589857 U655393:V655393 U720929:V720929 U786465:V786465 U852001:V852001 U917537:V917537 U983073:V983073 JQ33:JR33 JQ65569:JR65569 JQ131105:JR131105 JQ196641:JR196641 JQ262177:JR262177 JQ327713:JR327713 JQ393249:JR393249 JQ458785:JR458785 JQ524321:JR524321 JQ589857:JR589857 JQ655393:JR655393 JQ720929:JR720929 JQ786465:JR786465 JQ852001:JR852001 JQ917537:JR917537 JQ983073:JR983073 TM33:TN33 TM65569:TN65569 TM131105:TN131105 TM196641:TN196641 TM262177:TN262177 TM327713:TN327713 TM393249:TN393249 TM458785:TN458785 TM524321:TN524321 TM589857:TN589857 TM655393:TN655393 TM720929:TN720929 TM786465:TN786465 TM852001:TN852001 TM917537:TN917537 TM983073:TN983073 ADI33:ADJ33 ADI65569:ADJ65569 ADI131105:ADJ131105 ADI196641:ADJ196641 ADI262177:ADJ262177 ADI327713:ADJ327713 ADI393249:ADJ393249 ADI458785:ADJ458785 ADI524321:ADJ524321 ADI589857:ADJ589857 ADI655393:ADJ655393 ADI720929:ADJ720929 ADI786465:ADJ786465 ADI852001:ADJ852001 ADI917537:ADJ917537 ADI983073:ADJ983073 ANE33:ANF33 ANE65569:ANF65569 ANE131105:ANF131105 ANE196641:ANF196641 ANE262177:ANF262177 ANE327713:ANF327713 ANE393249:ANF393249 ANE458785:ANF458785 ANE524321:ANF524321 ANE589857:ANF589857 ANE655393:ANF655393 ANE720929:ANF720929 ANE786465:ANF786465 ANE852001:ANF852001 ANE917537:ANF917537 ANE983073:ANF983073 AXA33:AXB33 AXA65569:AXB65569 AXA131105:AXB131105 AXA196641:AXB196641 AXA262177:AXB262177 AXA327713:AXB327713 AXA393249:AXB393249 AXA458785:AXB458785 AXA524321:AXB524321 AXA589857:AXB589857 AXA655393:AXB655393 AXA720929:AXB720929 AXA786465:AXB786465 AXA852001:AXB852001 AXA917537:AXB917537 AXA983073:AXB983073 BGW33:BGX33 BGW65569:BGX65569 BGW131105:BGX131105 BGW196641:BGX196641 BGW262177:BGX262177 BGW327713:BGX327713 BGW393249:BGX393249 BGW458785:BGX458785 BGW524321:BGX524321 BGW589857:BGX589857 BGW655393:BGX655393 BGW720929:BGX720929 BGW786465:BGX786465 BGW852001:BGX852001 BGW917537:BGX917537 BGW983073:BGX983073 BQS33:BQT33 BQS65569:BQT65569 BQS131105:BQT131105 BQS196641:BQT196641 BQS262177:BQT262177 BQS327713:BQT327713 BQS393249:BQT393249 BQS458785:BQT458785 BQS524321:BQT524321 BQS589857:BQT589857 BQS655393:BQT655393 BQS720929:BQT720929 BQS786465:BQT786465 BQS852001:BQT852001 BQS917537:BQT917537 BQS983073:BQT983073 CAO33:CAP33 CAO65569:CAP65569 CAO131105:CAP131105 CAO196641:CAP196641 CAO262177:CAP262177 CAO327713:CAP327713 CAO393249:CAP393249 CAO458785:CAP458785 CAO524321:CAP524321 CAO589857:CAP589857 CAO655393:CAP655393 CAO720929:CAP720929 CAO786465:CAP786465 CAO852001:CAP852001 CAO917537:CAP917537 CAO983073:CAP983073 CKK33:CKL33 CKK65569:CKL65569 CKK131105:CKL131105 CKK196641:CKL196641 CKK262177:CKL262177 CKK327713:CKL327713 CKK393249:CKL393249 CKK458785:CKL458785 CKK524321:CKL524321 CKK589857:CKL589857 CKK655393:CKL655393 CKK720929:CKL720929 CKK786465:CKL786465 CKK852001:CKL852001 CKK917537:CKL917537 CKK983073:CKL983073 CUG33:CUH33 CUG65569:CUH65569 CUG131105:CUH131105 CUG196641:CUH196641 CUG262177:CUH262177 CUG327713:CUH327713 CUG393249:CUH393249 CUG458785:CUH458785 CUG524321:CUH524321 CUG589857:CUH589857 CUG655393:CUH655393 CUG720929:CUH720929 CUG786465:CUH786465 CUG852001:CUH852001 CUG917537:CUH917537 CUG983073:CUH983073 DEC33:DED33 DEC65569:DED65569 DEC131105:DED131105 DEC196641:DED196641 DEC262177:DED262177 DEC327713:DED327713 DEC393249:DED393249 DEC458785:DED458785 DEC524321:DED524321 DEC589857:DED589857 DEC655393:DED655393 DEC720929:DED720929 DEC786465:DED786465 DEC852001:DED852001 DEC917537:DED917537 DEC983073:DED983073 DNY33:DNZ33 DNY65569:DNZ65569 DNY131105:DNZ131105 DNY196641:DNZ196641 DNY262177:DNZ262177 DNY327713:DNZ327713 DNY393249:DNZ393249 DNY458785:DNZ458785 DNY524321:DNZ524321 DNY589857:DNZ589857 DNY655393:DNZ655393 DNY720929:DNZ720929 DNY786465:DNZ786465 DNY852001:DNZ852001 DNY917537:DNZ917537 DNY983073:DNZ983073 DXU33:DXV33 DXU65569:DXV65569 DXU131105:DXV131105 DXU196641:DXV196641 DXU262177:DXV262177 DXU327713:DXV327713 DXU393249:DXV393249 DXU458785:DXV458785 DXU524321:DXV524321 DXU589857:DXV589857 DXU655393:DXV655393 DXU720929:DXV720929 DXU786465:DXV786465 DXU852001:DXV852001 DXU917537:DXV917537 DXU983073:DXV983073 EHQ33:EHR33 EHQ65569:EHR65569 EHQ131105:EHR131105 EHQ196641:EHR196641 EHQ262177:EHR262177 EHQ327713:EHR327713 EHQ393249:EHR393249 EHQ458785:EHR458785 EHQ524321:EHR524321 EHQ589857:EHR589857 EHQ655393:EHR655393 EHQ720929:EHR720929 EHQ786465:EHR786465 EHQ852001:EHR852001 EHQ917537:EHR917537 EHQ983073:EHR983073 ERM33:ERN33 ERM65569:ERN65569 ERM131105:ERN131105 ERM196641:ERN196641 ERM262177:ERN262177 ERM327713:ERN327713 ERM393249:ERN393249 ERM458785:ERN458785 ERM524321:ERN524321 ERM589857:ERN589857 ERM655393:ERN655393 ERM720929:ERN720929 ERM786465:ERN786465 ERM852001:ERN852001 ERM917537:ERN917537 ERM983073:ERN983073 FBI33:FBJ33 FBI65569:FBJ65569 FBI131105:FBJ131105 FBI196641:FBJ196641 FBI262177:FBJ262177 FBI327713:FBJ327713 FBI393249:FBJ393249 FBI458785:FBJ458785 FBI524321:FBJ524321 FBI589857:FBJ589857 FBI655393:FBJ655393 FBI720929:FBJ720929 FBI786465:FBJ786465 FBI852001:FBJ852001 FBI917537:FBJ917537 FBI983073:FBJ983073 FLE33:FLF33 FLE65569:FLF65569 FLE131105:FLF131105 FLE196641:FLF196641 FLE262177:FLF262177 FLE327713:FLF327713 FLE393249:FLF393249 FLE458785:FLF458785 FLE524321:FLF524321 FLE589857:FLF589857 FLE655393:FLF655393 FLE720929:FLF720929 FLE786465:FLF786465 FLE852001:FLF852001 FLE917537:FLF917537 FLE983073:FLF983073 FVA33:FVB33 FVA65569:FVB65569 FVA131105:FVB131105 FVA196641:FVB196641 FVA262177:FVB262177 FVA327713:FVB327713 FVA393249:FVB393249 FVA458785:FVB458785 FVA524321:FVB524321 FVA589857:FVB589857 FVA655393:FVB655393 FVA720929:FVB720929 FVA786465:FVB786465 FVA852001:FVB852001 FVA917537:FVB917537 FVA983073:FVB983073 GEW33:GEX33 GEW65569:GEX65569 GEW131105:GEX131105 GEW196641:GEX196641 GEW262177:GEX262177 GEW327713:GEX327713 GEW393249:GEX393249 GEW458785:GEX458785 GEW524321:GEX524321 GEW589857:GEX589857 GEW655393:GEX655393 GEW720929:GEX720929 GEW786465:GEX786465 GEW852001:GEX852001 GEW917537:GEX917537 GEW983073:GEX983073 GOS33:GOT33 GOS65569:GOT65569 GOS131105:GOT131105 GOS196641:GOT196641 GOS262177:GOT262177 GOS327713:GOT327713 GOS393249:GOT393249 GOS458785:GOT458785 GOS524321:GOT524321 GOS589857:GOT589857 GOS655393:GOT655393 GOS720929:GOT720929 GOS786465:GOT786465 GOS852001:GOT852001 GOS917537:GOT917537 GOS983073:GOT983073 GYO33:GYP33 GYO65569:GYP65569 GYO131105:GYP131105 GYO196641:GYP196641 GYO262177:GYP262177 GYO327713:GYP327713 GYO393249:GYP393249 GYO458785:GYP458785 GYO524321:GYP524321 GYO589857:GYP589857 GYO655393:GYP655393 GYO720929:GYP720929 GYO786465:GYP786465 GYO852001:GYP852001 GYO917537:GYP917537 GYO983073:GYP983073 HIK33:HIL33 HIK65569:HIL65569 HIK131105:HIL131105 HIK196641:HIL196641 HIK262177:HIL262177 HIK327713:HIL327713 HIK393249:HIL393249 HIK458785:HIL458785 HIK524321:HIL524321 HIK589857:HIL589857 HIK655393:HIL655393 HIK720929:HIL720929 HIK786465:HIL786465 HIK852001:HIL852001 HIK917537:HIL917537 HIK983073:HIL983073 HSG33:HSH33 HSG65569:HSH65569 HSG131105:HSH131105 HSG196641:HSH196641 HSG262177:HSH262177 HSG327713:HSH327713 HSG393249:HSH393249 HSG458785:HSH458785 HSG524321:HSH524321 HSG589857:HSH589857 HSG655393:HSH655393 HSG720929:HSH720929 HSG786465:HSH786465 HSG852001:HSH852001 HSG917537:HSH917537 HSG983073:HSH983073 ICC33:ICD33 ICC65569:ICD65569 ICC131105:ICD131105 ICC196641:ICD196641 ICC262177:ICD262177 ICC327713:ICD327713 ICC393249:ICD393249 ICC458785:ICD458785 ICC524321:ICD524321 ICC589857:ICD589857 ICC655393:ICD655393 ICC720929:ICD720929 ICC786465:ICD786465 ICC852001:ICD852001 ICC917537:ICD917537 ICC983073:ICD983073 ILY33:ILZ33 ILY65569:ILZ65569 ILY131105:ILZ131105 ILY196641:ILZ196641 ILY262177:ILZ262177 ILY327713:ILZ327713 ILY393249:ILZ393249 ILY458785:ILZ458785 ILY524321:ILZ524321 ILY589857:ILZ589857 ILY655393:ILZ655393 ILY720929:ILZ720929 ILY786465:ILZ786465 ILY852001:ILZ852001 ILY917537:ILZ917537 ILY983073:ILZ983073 IVU33:IVV33 IVU65569:IVV65569 IVU131105:IVV131105 IVU196641:IVV196641 IVU262177:IVV262177 IVU327713:IVV327713 IVU393249:IVV393249 IVU458785:IVV458785 IVU524321:IVV524321 IVU589857:IVV589857 IVU655393:IVV655393 IVU720929:IVV720929 IVU786465:IVV786465 IVU852001:IVV852001 IVU917537:IVV917537 IVU983073:IVV983073 JFQ33:JFR33 JFQ65569:JFR65569 JFQ131105:JFR131105 JFQ196641:JFR196641 JFQ262177:JFR262177 JFQ327713:JFR327713 JFQ393249:JFR393249 JFQ458785:JFR458785 JFQ524321:JFR524321 JFQ589857:JFR589857 JFQ655393:JFR655393 JFQ720929:JFR720929 JFQ786465:JFR786465 JFQ852001:JFR852001 JFQ917537:JFR917537 JFQ983073:JFR983073 JPM33:JPN33 JPM65569:JPN65569 JPM131105:JPN131105 JPM196641:JPN196641 JPM262177:JPN262177 JPM327713:JPN327713 JPM393249:JPN393249 JPM458785:JPN458785 JPM524321:JPN524321 JPM589857:JPN589857 JPM655393:JPN655393 JPM720929:JPN720929 JPM786465:JPN786465 JPM852001:JPN852001 JPM917537:JPN917537 JPM983073:JPN983073 JZI33:JZJ33 JZI65569:JZJ65569 JZI131105:JZJ131105 JZI196641:JZJ196641 JZI262177:JZJ262177 JZI327713:JZJ327713 JZI393249:JZJ393249 JZI458785:JZJ458785 JZI524321:JZJ524321 JZI589857:JZJ589857 JZI655393:JZJ655393 JZI720929:JZJ720929 JZI786465:JZJ786465 JZI852001:JZJ852001 JZI917537:JZJ917537 JZI983073:JZJ983073 KJE33:KJF33 KJE65569:KJF65569 KJE131105:KJF131105 KJE196641:KJF196641 KJE262177:KJF262177 KJE327713:KJF327713 KJE393249:KJF393249 KJE458785:KJF458785 KJE524321:KJF524321 KJE589857:KJF589857 KJE655393:KJF655393 KJE720929:KJF720929 KJE786465:KJF786465 KJE852001:KJF852001 KJE917537:KJF917537 KJE983073:KJF983073 KTA33:KTB33 KTA65569:KTB65569 KTA131105:KTB131105 KTA196641:KTB196641 KTA262177:KTB262177 KTA327713:KTB327713 KTA393249:KTB393249 KTA458785:KTB458785 KTA524321:KTB524321 KTA589857:KTB589857 KTA655393:KTB655393 KTA720929:KTB720929 KTA786465:KTB786465 KTA852001:KTB852001 KTA917537:KTB917537 KTA983073:KTB983073 LCW33:LCX33 LCW65569:LCX65569 LCW131105:LCX131105 LCW196641:LCX196641 LCW262177:LCX262177 LCW327713:LCX327713 LCW393249:LCX393249 LCW458785:LCX458785 LCW524321:LCX524321 LCW589857:LCX589857 LCW655393:LCX655393 LCW720929:LCX720929 LCW786465:LCX786465 LCW852001:LCX852001 LCW917537:LCX917537 LCW983073:LCX983073 LMS33:LMT33 LMS65569:LMT65569 LMS131105:LMT131105 LMS196641:LMT196641 LMS262177:LMT262177 LMS327713:LMT327713 LMS393249:LMT393249 LMS458785:LMT458785 LMS524321:LMT524321 LMS589857:LMT589857 LMS655393:LMT655393 LMS720929:LMT720929 LMS786465:LMT786465 LMS852001:LMT852001 LMS917537:LMT917537 LMS983073:LMT983073 LWO33:LWP33 LWO65569:LWP65569 LWO131105:LWP131105 LWO196641:LWP196641 LWO262177:LWP262177 LWO327713:LWP327713 LWO393249:LWP393249 LWO458785:LWP458785 LWO524321:LWP524321 LWO589857:LWP589857 LWO655393:LWP655393 LWO720929:LWP720929 LWO786465:LWP786465 LWO852001:LWP852001 LWO917537:LWP917537 LWO983073:LWP983073 MGK33:MGL33 MGK65569:MGL65569 MGK131105:MGL131105 MGK196641:MGL196641 MGK262177:MGL262177 MGK327713:MGL327713 MGK393249:MGL393249 MGK458785:MGL458785 MGK524321:MGL524321 MGK589857:MGL589857 MGK655393:MGL655393 MGK720929:MGL720929 MGK786465:MGL786465 MGK852001:MGL852001 MGK917537:MGL917537 MGK983073:MGL983073 MQG33:MQH33 MQG65569:MQH65569 MQG131105:MQH131105 MQG196641:MQH196641 MQG262177:MQH262177 MQG327713:MQH327713 MQG393249:MQH393249 MQG458785:MQH458785 MQG524321:MQH524321 MQG589857:MQH589857 MQG655393:MQH655393 MQG720929:MQH720929 MQG786465:MQH786465 MQG852001:MQH852001 MQG917537:MQH917537 MQG983073:MQH983073 NAC33:NAD33 NAC65569:NAD65569 NAC131105:NAD131105 NAC196641:NAD196641 NAC262177:NAD262177 NAC327713:NAD327713 NAC393249:NAD393249 NAC458785:NAD458785 NAC524321:NAD524321 NAC589857:NAD589857 NAC655393:NAD655393 NAC720929:NAD720929 NAC786465:NAD786465 NAC852001:NAD852001 NAC917537:NAD917537 NAC983073:NAD983073 NJY33:NJZ33 NJY65569:NJZ65569 NJY131105:NJZ131105 NJY196641:NJZ196641 NJY262177:NJZ262177 NJY327713:NJZ327713 NJY393249:NJZ393249 NJY458785:NJZ458785 NJY524321:NJZ524321 NJY589857:NJZ589857 NJY655393:NJZ655393 NJY720929:NJZ720929 NJY786465:NJZ786465 NJY852001:NJZ852001 NJY917537:NJZ917537 NJY983073:NJZ983073 NTU33:NTV33 NTU65569:NTV65569 NTU131105:NTV131105 NTU196641:NTV196641 NTU262177:NTV262177 NTU327713:NTV327713 NTU393249:NTV393249 NTU458785:NTV458785 NTU524321:NTV524321 NTU589857:NTV589857 NTU655393:NTV655393 NTU720929:NTV720929 NTU786465:NTV786465 NTU852001:NTV852001 NTU917537:NTV917537 NTU983073:NTV983073 ODQ33:ODR33 ODQ65569:ODR65569 ODQ131105:ODR131105 ODQ196641:ODR196641 ODQ262177:ODR262177 ODQ327713:ODR327713 ODQ393249:ODR393249 ODQ458785:ODR458785 ODQ524321:ODR524321 ODQ589857:ODR589857 ODQ655393:ODR655393 ODQ720929:ODR720929 ODQ786465:ODR786465 ODQ852001:ODR852001 ODQ917537:ODR917537 ODQ983073:ODR983073 ONM33:ONN33 ONM65569:ONN65569 ONM131105:ONN131105 ONM196641:ONN196641 ONM262177:ONN262177 ONM327713:ONN327713 ONM393249:ONN393249 ONM458785:ONN458785 ONM524321:ONN524321 ONM589857:ONN589857 ONM655393:ONN655393 ONM720929:ONN720929 ONM786465:ONN786465 ONM852001:ONN852001 ONM917537:ONN917537 ONM983073:ONN983073 OXI33:OXJ33 OXI65569:OXJ65569 OXI131105:OXJ131105 OXI196641:OXJ196641 OXI262177:OXJ262177 OXI327713:OXJ327713 OXI393249:OXJ393249 OXI458785:OXJ458785 OXI524321:OXJ524321 OXI589857:OXJ589857 OXI655393:OXJ655393 OXI720929:OXJ720929 OXI786465:OXJ786465 OXI852001:OXJ852001 OXI917537:OXJ917537 OXI983073:OXJ983073 PHE33:PHF33 PHE65569:PHF65569 PHE131105:PHF131105 PHE196641:PHF196641 PHE262177:PHF262177 PHE327713:PHF327713 PHE393249:PHF393249 PHE458785:PHF458785 PHE524321:PHF524321 PHE589857:PHF589857 PHE655393:PHF655393 PHE720929:PHF720929 PHE786465:PHF786465 PHE852001:PHF852001 PHE917537:PHF917537 PHE983073:PHF983073 PRA33:PRB33 PRA65569:PRB65569 PRA131105:PRB131105 PRA196641:PRB196641 PRA262177:PRB262177 PRA327713:PRB327713 PRA393249:PRB393249 PRA458785:PRB458785 PRA524321:PRB524321 PRA589857:PRB589857 PRA655393:PRB655393 PRA720929:PRB720929 PRA786465:PRB786465 PRA852001:PRB852001 PRA917537:PRB917537 PRA983073:PRB983073 QAW33:QAX33 QAW65569:QAX65569 QAW131105:QAX131105 QAW196641:QAX196641 QAW262177:QAX262177 QAW327713:QAX327713 QAW393249:QAX393249 QAW458785:QAX458785 QAW524321:QAX524321 QAW589857:QAX589857 QAW655393:QAX655393 QAW720929:QAX720929 QAW786465:QAX786465 QAW852001:QAX852001 QAW917537:QAX917537 QAW983073:QAX983073 QKS33:QKT33 QKS65569:QKT65569 QKS131105:QKT131105 QKS196641:QKT196641 QKS262177:QKT262177 QKS327713:QKT327713 QKS393249:QKT393249 QKS458785:QKT458785 QKS524321:QKT524321 QKS589857:QKT589857 QKS655393:QKT655393 QKS720929:QKT720929 QKS786465:QKT786465 QKS852001:QKT852001 QKS917537:QKT917537 QKS983073:QKT983073 QUO33:QUP33 QUO65569:QUP65569 QUO131105:QUP131105 QUO196641:QUP196641 QUO262177:QUP262177 QUO327713:QUP327713 QUO393249:QUP393249 QUO458785:QUP458785 QUO524321:QUP524321 QUO589857:QUP589857 QUO655393:QUP655393 QUO720929:QUP720929 QUO786465:QUP786465 QUO852001:QUP852001 QUO917537:QUP917537 QUO983073:QUP983073 REK33:REL33 REK65569:REL65569 REK131105:REL131105 REK196641:REL196641 REK262177:REL262177 REK327713:REL327713 REK393249:REL393249 REK458785:REL458785 REK524321:REL524321 REK589857:REL589857 REK655393:REL655393 REK720929:REL720929 REK786465:REL786465 REK852001:REL852001 REK917537:REL917537 REK983073:REL983073 ROG33:ROH33 ROG65569:ROH65569 ROG131105:ROH131105 ROG196641:ROH196641 ROG262177:ROH262177 ROG327713:ROH327713 ROG393249:ROH393249 ROG458785:ROH458785 ROG524321:ROH524321 ROG589857:ROH589857 ROG655393:ROH655393 ROG720929:ROH720929 ROG786465:ROH786465 ROG852001:ROH852001 ROG917537:ROH917537 ROG983073:ROH983073 RYC33:RYD33 RYC65569:RYD65569 RYC131105:RYD131105 RYC196641:RYD196641 RYC262177:RYD262177 RYC327713:RYD327713 RYC393249:RYD393249 RYC458785:RYD458785 RYC524321:RYD524321 RYC589857:RYD589857 RYC655393:RYD655393 RYC720929:RYD720929 RYC786465:RYD786465 RYC852001:RYD852001 RYC917537:RYD917537 RYC983073:RYD983073 SHY33:SHZ33 SHY65569:SHZ65569 SHY131105:SHZ131105 SHY196641:SHZ196641 SHY262177:SHZ262177 SHY327713:SHZ327713 SHY393249:SHZ393249 SHY458785:SHZ458785 SHY524321:SHZ524321 SHY589857:SHZ589857 SHY655393:SHZ655393 SHY720929:SHZ720929 SHY786465:SHZ786465 SHY852001:SHZ852001 SHY917537:SHZ917537 SHY983073:SHZ983073 SRU33:SRV33 SRU65569:SRV65569 SRU131105:SRV131105 SRU196641:SRV196641 SRU262177:SRV262177 SRU327713:SRV327713 SRU393249:SRV393249 SRU458785:SRV458785 SRU524321:SRV524321 SRU589857:SRV589857 SRU655393:SRV655393 SRU720929:SRV720929 SRU786465:SRV786465 SRU852001:SRV852001 SRU917537:SRV917537 SRU983073:SRV983073 TBQ33:TBR33 TBQ65569:TBR65569 TBQ131105:TBR131105 TBQ196641:TBR196641 TBQ262177:TBR262177 TBQ327713:TBR327713 TBQ393249:TBR393249 TBQ458785:TBR458785 TBQ524321:TBR524321 TBQ589857:TBR589857 TBQ655393:TBR655393 TBQ720929:TBR720929 TBQ786465:TBR786465 TBQ852001:TBR852001 TBQ917537:TBR917537 TBQ983073:TBR983073 TLM33:TLN33 TLM65569:TLN65569 TLM131105:TLN131105 TLM196641:TLN196641 TLM262177:TLN262177 TLM327713:TLN327713 TLM393249:TLN393249 TLM458785:TLN458785 TLM524321:TLN524321 TLM589857:TLN589857 TLM655393:TLN655393 TLM720929:TLN720929 TLM786465:TLN786465 TLM852001:TLN852001 TLM917537:TLN917537 TLM983073:TLN983073 TVI33:TVJ33 TVI65569:TVJ65569 TVI131105:TVJ131105 TVI196641:TVJ196641 TVI262177:TVJ262177 TVI327713:TVJ327713 TVI393249:TVJ393249 TVI458785:TVJ458785 TVI524321:TVJ524321 TVI589857:TVJ589857 TVI655393:TVJ655393 TVI720929:TVJ720929 TVI786465:TVJ786465 TVI852001:TVJ852001 TVI917537:TVJ917537 TVI983073:TVJ983073 UFE33:UFF33 UFE65569:UFF65569 UFE131105:UFF131105 UFE196641:UFF196641 UFE262177:UFF262177 UFE327713:UFF327713 UFE393249:UFF393249 UFE458785:UFF458785 UFE524321:UFF524321 UFE589857:UFF589857 UFE655393:UFF655393 UFE720929:UFF720929 UFE786465:UFF786465 UFE852001:UFF852001 UFE917537:UFF917537 UFE983073:UFF983073 UPA33:UPB33 UPA65569:UPB65569 UPA131105:UPB131105 UPA196641:UPB196641 UPA262177:UPB262177 UPA327713:UPB327713 UPA393249:UPB393249 UPA458785:UPB458785 UPA524321:UPB524321 UPA589857:UPB589857 UPA655393:UPB655393 UPA720929:UPB720929 UPA786465:UPB786465 UPA852001:UPB852001 UPA917537:UPB917537 UPA983073:UPB983073 UYW33:UYX33 UYW65569:UYX65569 UYW131105:UYX131105 UYW196641:UYX196641 UYW262177:UYX262177 UYW327713:UYX327713 UYW393249:UYX393249 UYW458785:UYX458785 UYW524321:UYX524321 UYW589857:UYX589857 UYW655393:UYX655393 UYW720929:UYX720929 UYW786465:UYX786465 UYW852001:UYX852001 UYW917537:UYX917537 UYW983073:UYX983073 VIS33:VIT33 VIS65569:VIT65569 VIS131105:VIT131105 VIS196641:VIT196641 VIS262177:VIT262177 VIS327713:VIT327713 VIS393249:VIT393249 VIS458785:VIT458785 VIS524321:VIT524321 VIS589857:VIT589857 VIS655393:VIT655393 VIS720929:VIT720929 VIS786465:VIT786465 VIS852001:VIT852001 VIS917537:VIT917537 VIS983073:VIT983073 VSO33:VSP33 VSO65569:VSP65569 VSO131105:VSP131105 VSO196641:VSP196641 VSO262177:VSP262177 VSO327713:VSP327713 VSO393249:VSP393249 VSO458785:VSP458785 VSO524321:VSP524321 VSO589857:VSP589857 VSO655393:VSP655393 VSO720929:VSP720929 VSO786465:VSP786465 VSO852001:VSP852001 VSO917537:VSP917537 VSO983073:VSP983073 WCK33:WCL33 WCK65569:WCL65569 WCK131105:WCL131105 WCK196641:WCL196641 WCK262177:WCL262177 WCK327713:WCL327713 WCK393249:WCL393249 WCK458785:WCL458785 WCK524321:WCL524321 WCK589857:WCL589857 WCK655393:WCL655393 WCK720929:WCL720929 WCK786465:WCL786465 WCK852001:WCL852001 WCK917537:WCL917537 WCK983073:WCL983073 WMG33:WMH33 WMG65569:WMH65569 WMG131105:WMH131105 WMG196641:WMH196641 WMG262177:WMH262177 WMG327713:WMH327713 WMG393249:WMH393249 WMG458785:WMH458785 WMG524321:WMH524321 WMG589857:WMH589857 WMG655393:WMH655393 WMG720929:WMH720929 WMG786465:WMH786465 WMG852001:WMH852001 WMG917537:WMH917537 WMG983073:WMH983073 WWC33:WWD33 WWC65569:WWD65569 WWC131105:WWD131105 WWC196641:WWD196641 WWC262177:WWD262177 WWC327713:WWD327713 WWC393249:WWD393249 WWC458785:WWD458785 WWC524321:WWD524321 WWC589857:WWD589857 WWC655393:WWD655393 WWC720929:WWD720929 WWC786465:WWD786465 WWC852001:WWD852001 WWC917537:WWD917537 WWC983073:WWD983073" xr:uid="{00000000-0002-0000-1400-000006000000}">
      <formula1>"　,愛知県"</formula1>
    </dataValidation>
    <dataValidation type="list" allowBlank="1" showInputMessage="1" sqref="S45:U45 S65581:U65581 S131117:U131117 S196653:U196653 S262189:U262189 S327725:U327725 S393261:U393261 S458797:U458797 S524333:U524333 S589869:U589869 S655405:U655405 S720941:U720941 S786477:U786477 S852013:U852013 S917549:U917549 S983085:U983085 JO45:JQ45 JO65581:JQ65581 JO131117:JQ131117 JO196653:JQ196653 JO262189:JQ262189 JO327725:JQ327725 JO393261:JQ393261 JO458797:JQ458797 JO524333:JQ524333 JO589869:JQ589869 JO655405:JQ655405 JO720941:JQ720941 JO786477:JQ786477 JO852013:JQ852013 JO917549:JQ917549 JO983085:JQ983085 TK45:TM45 TK65581:TM65581 TK131117:TM131117 TK196653:TM196653 TK262189:TM262189 TK327725:TM327725 TK393261:TM393261 TK458797:TM458797 TK524333:TM524333 TK589869:TM589869 TK655405:TM655405 TK720941:TM720941 TK786477:TM786477 TK852013:TM852013 TK917549:TM917549 TK983085:TM983085 ADG45:ADI45 ADG65581:ADI65581 ADG131117:ADI131117 ADG196653:ADI196653 ADG262189:ADI262189 ADG327725:ADI327725 ADG393261:ADI393261 ADG458797:ADI458797 ADG524333:ADI524333 ADG589869:ADI589869 ADG655405:ADI655405 ADG720941:ADI720941 ADG786477:ADI786477 ADG852013:ADI852013 ADG917549:ADI917549 ADG983085:ADI983085 ANC45:ANE45 ANC65581:ANE65581 ANC131117:ANE131117 ANC196653:ANE196653 ANC262189:ANE262189 ANC327725:ANE327725 ANC393261:ANE393261 ANC458797:ANE458797 ANC524333:ANE524333 ANC589869:ANE589869 ANC655405:ANE655405 ANC720941:ANE720941 ANC786477:ANE786477 ANC852013:ANE852013 ANC917549:ANE917549 ANC983085:ANE983085 AWY45:AXA45 AWY65581:AXA65581 AWY131117:AXA131117 AWY196653:AXA196653 AWY262189:AXA262189 AWY327725:AXA327725 AWY393261:AXA393261 AWY458797:AXA458797 AWY524333:AXA524333 AWY589869:AXA589869 AWY655405:AXA655405 AWY720941:AXA720941 AWY786477:AXA786477 AWY852013:AXA852013 AWY917549:AXA917549 AWY983085:AXA983085 BGU45:BGW45 BGU65581:BGW65581 BGU131117:BGW131117 BGU196653:BGW196653 BGU262189:BGW262189 BGU327725:BGW327725 BGU393261:BGW393261 BGU458797:BGW458797 BGU524333:BGW524333 BGU589869:BGW589869 BGU655405:BGW655405 BGU720941:BGW720941 BGU786477:BGW786477 BGU852013:BGW852013 BGU917549:BGW917549 BGU983085:BGW983085 BQQ45:BQS45 BQQ65581:BQS65581 BQQ131117:BQS131117 BQQ196653:BQS196653 BQQ262189:BQS262189 BQQ327725:BQS327725 BQQ393261:BQS393261 BQQ458797:BQS458797 BQQ524333:BQS524333 BQQ589869:BQS589869 BQQ655405:BQS655405 BQQ720941:BQS720941 BQQ786477:BQS786477 BQQ852013:BQS852013 BQQ917549:BQS917549 BQQ983085:BQS983085 CAM45:CAO45 CAM65581:CAO65581 CAM131117:CAO131117 CAM196653:CAO196653 CAM262189:CAO262189 CAM327725:CAO327725 CAM393261:CAO393261 CAM458797:CAO458797 CAM524333:CAO524333 CAM589869:CAO589869 CAM655405:CAO655405 CAM720941:CAO720941 CAM786477:CAO786477 CAM852013:CAO852013 CAM917549:CAO917549 CAM983085:CAO983085 CKI45:CKK45 CKI65581:CKK65581 CKI131117:CKK131117 CKI196653:CKK196653 CKI262189:CKK262189 CKI327725:CKK327725 CKI393261:CKK393261 CKI458797:CKK458797 CKI524333:CKK524333 CKI589869:CKK589869 CKI655405:CKK655405 CKI720941:CKK720941 CKI786477:CKK786477 CKI852013:CKK852013 CKI917549:CKK917549 CKI983085:CKK983085 CUE45:CUG45 CUE65581:CUG65581 CUE131117:CUG131117 CUE196653:CUG196653 CUE262189:CUG262189 CUE327725:CUG327725 CUE393261:CUG393261 CUE458797:CUG458797 CUE524333:CUG524333 CUE589869:CUG589869 CUE655405:CUG655405 CUE720941:CUG720941 CUE786477:CUG786477 CUE852013:CUG852013 CUE917549:CUG917549 CUE983085:CUG983085 DEA45:DEC45 DEA65581:DEC65581 DEA131117:DEC131117 DEA196653:DEC196653 DEA262189:DEC262189 DEA327725:DEC327725 DEA393261:DEC393261 DEA458797:DEC458797 DEA524333:DEC524333 DEA589869:DEC589869 DEA655405:DEC655405 DEA720941:DEC720941 DEA786477:DEC786477 DEA852013:DEC852013 DEA917549:DEC917549 DEA983085:DEC983085 DNW45:DNY45 DNW65581:DNY65581 DNW131117:DNY131117 DNW196653:DNY196653 DNW262189:DNY262189 DNW327725:DNY327725 DNW393261:DNY393261 DNW458797:DNY458797 DNW524333:DNY524333 DNW589869:DNY589869 DNW655405:DNY655405 DNW720941:DNY720941 DNW786477:DNY786477 DNW852013:DNY852013 DNW917549:DNY917549 DNW983085:DNY983085 DXS45:DXU45 DXS65581:DXU65581 DXS131117:DXU131117 DXS196653:DXU196653 DXS262189:DXU262189 DXS327725:DXU327725 DXS393261:DXU393261 DXS458797:DXU458797 DXS524333:DXU524333 DXS589869:DXU589869 DXS655405:DXU655405 DXS720941:DXU720941 DXS786477:DXU786477 DXS852013:DXU852013 DXS917549:DXU917549 DXS983085:DXU983085 EHO45:EHQ45 EHO65581:EHQ65581 EHO131117:EHQ131117 EHO196653:EHQ196653 EHO262189:EHQ262189 EHO327725:EHQ327725 EHO393261:EHQ393261 EHO458797:EHQ458797 EHO524333:EHQ524333 EHO589869:EHQ589869 EHO655405:EHQ655405 EHO720941:EHQ720941 EHO786477:EHQ786477 EHO852013:EHQ852013 EHO917549:EHQ917549 EHO983085:EHQ983085 ERK45:ERM45 ERK65581:ERM65581 ERK131117:ERM131117 ERK196653:ERM196653 ERK262189:ERM262189 ERK327725:ERM327725 ERK393261:ERM393261 ERK458797:ERM458797 ERK524333:ERM524333 ERK589869:ERM589869 ERK655405:ERM655405 ERK720941:ERM720941 ERK786477:ERM786477 ERK852013:ERM852013 ERK917549:ERM917549 ERK983085:ERM983085 FBG45:FBI45 FBG65581:FBI65581 FBG131117:FBI131117 FBG196653:FBI196653 FBG262189:FBI262189 FBG327725:FBI327725 FBG393261:FBI393261 FBG458797:FBI458797 FBG524333:FBI524333 FBG589869:FBI589869 FBG655405:FBI655405 FBG720941:FBI720941 FBG786477:FBI786477 FBG852013:FBI852013 FBG917549:FBI917549 FBG983085:FBI983085 FLC45:FLE45 FLC65581:FLE65581 FLC131117:FLE131117 FLC196653:FLE196653 FLC262189:FLE262189 FLC327725:FLE327725 FLC393261:FLE393261 FLC458797:FLE458797 FLC524333:FLE524333 FLC589869:FLE589869 FLC655405:FLE655405 FLC720941:FLE720941 FLC786477:FLE786477 FLC852013:FLE852013 FLC917549:FLE917549 FLC983085:FLE983085 FUY45:FVA45 FUY65581:FVA65581 FUY131117:FVA131117 FUY196653:FVA196653 FUY262189:FVA262189 FUY327725:FVA327725 FUY393261:FVA393261 FUY458797:FVA458797 FUY524333:FVA524333 FUY589869:FVA589869 FUY655405:FVA655405 FUY720941:FVA720941 FUY786477:FVA786477 FUY852013:FVA852013 FUY917549:FVA917549 FUY983085:FVA983085 GEU45:GEW45 GEU65581:GEW65581 GEU131117:GEW131117 GEU196653:GEW196653 GEU262189:GEW262189 GEU327725:GEW327725 GEU393261:GEW393261 GEU458797:GEW458797 GEU524333:GEW524333 GEU589869:GEW589869 GEU655405:GEW655405 GEU720941:GEW720941 GEU786477:GEW786477 GEU852013:GEW852013 GEU917549:GEW917549 GEU983085:GEW983085 GOQ45:GOS45 GOQ65581:GOS65581 GOQ131117:GOS131117 GOQ196653:GOS196653 GOQ262189:GOS262189 GOQ327725:GOS327725 GOQ393261:GOS393261 GOQ458797:GOS458797 GOQ524333:GOS524333 GOQ589869:GOS589869 GOQ655405:GOS655405 GOQ720941:GOS720941 GOQ786477:GOS786477 GOQ852013:GOS852013 GOQ917549:GOS917549 GOQ983085:GOS983085 GYM45:GYO45 GYM65581:GYO65581 GYM131117:GYO131117 GYM196653:GYO196653 GYM262189:GYO262189 GYM327725:GYO327725 GYM393261:GYO393261 GYM458797:GYO458797 GYM524333:GYO524333 GYM589869:GYO589869 GYM655405:GYO655405 GYM720941:GYO720941 GYM786477:GYO786477 GYM852013:GYO852013 GYM917549:GYO917549 GYM983085:GYO983085 HII45:HIK45 HII65581:HIK65581 HII131117:HIK131117 HII196653:HIK196653 HII262189:HIK262189 HII327725:HIK327725 HII393261:HIK393261 HII458797:HIK458797 HII524333:HIK524333 HII589869:HIK589869 HII655405:HIK655405 HII720941:HIK720941 HII786477:HIK786477 HII852013:HIK852013 HII917549:HIK917549 HII983085:HIK983085 HSE45:HSG45 HSE65581:HSG65581 HSE131117:HSG131117 HSE196653:HSG196653 HSE262189:HSG262189 HSE327725:HSG327725 HSE393261:HSG393261 HSE458797:HSG458797 HSE524333:HSG524333 HSE589869:HSG589869 HSE655405:HSG655405 HSE720941:HSG720941 HSE786477:HSG786477 HSE852013:HSG852013 HSE917549:HSG917549 HSE983085:HSG983085 ICA45:ICC45 ICA65581:ICC65581 ICA131117:ICC131117 ICA196653:ICC196653 ICA262189:ICC262189 ICA327725:ICC327725 ICA393261:ICC393261 ICA458797:ICC458797 ICA524333:ICC524333 ICA589869:ICC589869 ICA655405:ICC655405 ICA720941:ICC720941 ICA786477:ICC786477 ICA852013:ICC852013 ICA917549:ICC917549 ICA983085:ICC983085 ILW45:ILY45 ILW65581:ILY65581 ILW131117:ILY131117 ILW196653:ILY196653 ILW262189:ILY262189 ILW327725:ILY327725 ILW393261:ILY393261 ILW458797:ILY458797 ILW524333:ILY524333 ILW589869:ILY589869 ILW655405:ILY655405 ILW720941:ILY720941 ILW786477:ILY786477 ILW852013:ILY852013 ILW917549:ILY917549 ILW983085:ILY983085 IVS45:IVU45 IVS65581:IVU65581 IVS131117:IVU131117 IVS196653:IVU196653 IVS262189:IVU262189 IVS327725:IVU327725 IVS393261:IVU393261 IVS458797:IVU458797 IVS524333:IVU524333 IVS589869:IVU589869 IVS655405:IVU655405 IVS720941:IVU720941 IVS786477:IVU786477 IVS852013:IVU852013 IVS917549:IVU917549 IVS983085:IVU983085 JFO45:JFQ45 JFO65581:JFQ65581 JFO131117:JFQ131117 JFO196653:JFQ196653 JFO262189:JFQ262189 JFO327725:JFQ327725 JFO393261:JFQ393261 JFO458797:JFQ458797 JFO524333:JFQ524333 JFO589869:JFQ589869 JFO655405:JFQ655405 JFO720941:JFQ720941 JFO786477:JFQ786477 JFO852013:JFQ852013 JFO917549:JFQ917549 JFO983085:JFQ983085 JPK45:JPM45 JPK65581:JPM65581 JPK131117:JPM131117 JPK196653:JPM196653 JPK262189:JPM262189 JPK327725:JPM327725 JPK393261:JPM393261 JPK458797:JPM458797 JPK524333:JPM524333 JPK589869:JPM589869 JPK655405:JPM655405 JPK720941:JPM720941 JPK786477:JPM786477 JPK852013:JPM852013 JPK917549:JPM917549 JPK983085:JPM983085 JZG45:JZI45 JZG65581:JZI65581 JZG131117:JZI131117 JZG196653:JZI196653 JZG262189:JZI262189 JZG327725:JZI327725 JZG393261:JZI393261 JZG458797:JZI458797 JZG524333:JZI524333 JZG589869:JZI589869 JZG655405:JZI655405 JZG720941:JZI720941 JZG786477:JZI786477 JZG852013:JZI852013 JZG917549:JZI917549 JZG983085:JZI983085 KJC45:KJE45 KJC65581:KJE65581 KJC131117:KJE131117 KJC196653:KJE196653 KJC262189:KJE262189 KJC327725:KJE327725 KJC393261:KJE393261 KJC458797:KJE458797 KJC524333:KJE524333 KJC589869:KJE589869 KJC655405:KJE655405 KJC720941:KJE720941 KJC786477:KJE786477 KJC852013:KJE852013 KJC917549:KJE917549 KJC983085:KJE983085 KSY45:KTA45 KSY65581:KTA65581 KSY131117:KTA131117 KSY196653:KTA196653 KSY262189:KTA262189 KSY327725:KTA327725 KSY393261:KTA393261 KSY458797:KTA458797 KSY524333:KTA524333 KSY589869:KTA589869 KSY655405:KTA655405 KSY720941:KTA720941 KSY786477:KTA786477 KSY852013:KTA852013 KSY917549:KTA917549 KSY983085:KTA983085 LCU45:LCW45 LCU65581:LCW65581 LCU131117:LCW131117 LCU196653:LCW196653 LCU262189:LCW262189 LCU327725:LCW327725 LCU393261:LCW393261 LCU458797:LCW458797 LCU524333:LCW524333 LCU589869:LCW589869 LCU655405:LCW655405 LCU720941:LCW720941 LCU786477:LCW786477 LCU852013:LCW852013 LCU917549:LCW917549 LCU983085:LCW983085 LMQ45:LMS45 LMQ65581:LMS65581 LMQ131117:LMS131117 LMQ196653:LMS196653 LMQ262189:LMS262189 LMQ327725:LMS327725 LMQ393261:LMS393261 LMQ458797:LMS458797 LMQ524333:LMS524333 LMQ589869:LMS589869 LMQ655405:LMS655405 LMQ720941:LMS720941 LMQ786477:LMS786477 LMQ852013:LMS852013 LMQ917549:LMS917549 LMQ983085:LMS983085 LWM45:LWO45 LWM65581:LWO65581 LWM131117:LWO131117 LWM196653:LWO196653 LWM262189:LWO262189 LWM327725:LWO327725 LWM393261:LWO393261 LWM458797:LWO458797 LWM524333:LWO524333 LWM589869:LWO589869 LWM655405:LWO655405 LWM720941:LWO720941 LWM786477:LWO786477 LWM852013:LWO852013 LWM917549:LWO917549 LWM983085:LWO983085 MGI45:MGK45 MGI65581:MGK65581 MGI131117:MGK131117 MGI196653:MGK196653 MGI262189:MGK262189 MGI327725:MGK327725 MGI393261:MGK393261 MGI458797:MGK458797 MGI524333:MGK524333 MGI589869:MGK589869 MGI655405:MGK655405 MGI720941:MGK720941 MGI786477:MGK786477 MGI852013:MGK852013 MGI917549:MGK917549 MGI983085:MGK983085 MQE45:MQG45 MQE65581:MQG65581 MQE131117:MQG131117 MQE196653:MQG196653 MQE262189:MQG262189 MQE327725:MQG327725 MQE393261:MQG393261 MQE458797:MQG458797 MQE524333:MQG524333 MQE589869:MQG589869 MQE655405:MQG655405 MQE720941:MQG720941 MQE786477:MQG786477 MQE852013:MQG852013 MQE917549:MQG917549 MQE983085:MQG983085 NAA45:NAC45 NAA65581:NAC65581 NAA131117:NAC131117 NAA196653:NAC196653 NAA262189:NAC262189 NAA327725:NAC327725 NAA393261:NAC393261 NAA458797:NAC458797 NAA524333:NAC524333 NAA589869:NAC589869 NAA655405:NAC655405 NAA720941:NAC720941 NAA786477:NAC786477 NAA852013:NAC852013 NAA917549:NAC917549 NAA983085:NAC983085 NJW45:NJY45 NJW65581:NJY65581 NJW131117:NJY131117 NJW196653:NJY196653 NJW262189:NJY262189 NJW327725:NJY327725 NJW393261:NJY393261 NJW458797:NJY458797 NJW524333:NJY524333 NJW589869:NJY589869 NJW655405:NJY655405 NJW720941:NJY720941 NJW786477:NJY786477 NJW852013:NJY852013 NJW917549:NJY917549 NJW983085:NJY983085 NTS45:NTU45 NTS65581:NTU65581 NTS131117:NTU131117 NTS196653:NTU196653 NTS262189:NTU262189 NTS327725:NTU327725 NTS393261:NTU393261 NTS458797:NTU458797 NTS524333:NTU524333 NTS589869:NTU589869 NTS655405:NTU655405 NTS720941:NTU720941 NTS786477:NTU786477 NTS852013:NTU852013 NTS917549:NTU917549 NTS983085:NTU983085 ODO45:ODQ45 ODO65581:ODQ65581 ODO131117:ODQ131117 ODO196653:ODQ196653 ODO262189:ODQ262189 ODO327725:ODQ327725 ODO393261:ODQ393261 ODO458797:ODQ458797 ODO524333:ODQ524333 ODO589869:ODQ589869 ODO655405:ODQ655405 ODO720941:ODQ720941 ODO786477:ODQ786477 ODO852013:ODQ852013 ODO917549:ODQ917549 ODO983085:ODQ983085 ONK45:ONM45 ONK65581:ONM65581 ONK131117:ONM131117 ONK196653:ONM196653 ONK262189:ONM262189 ONK327725:ONM327725 ONK393261:ONM393261 ONK458797:ONM458797 ONK524333:ONM524333 ONK589869:ONM589869 ONK655405:ONM655405 ONK720941:ONM720941 ONK786477:ONM786477 ONK852013:ONM852013 ONK917549:ONM917549 ONK983085:ONM983085 OXG45:OXI45 OXG65581:OXI65581 OXG131117:OXI131117 OXG196653:OXI196653 OXG262189:OXI262189 OXG327725:OXI327725 OXG393261:OXI393261 OXG458797:OXI458797 OXG524333:OXI524333 OXG589869:OXI589869 OXG655405:OXI655405 OXG720941:OXI720941 OXG786477:OXI786477 OXG852013:OXI852013 OXG917549:OXI917549 OXG983085:OXI983085 PHC45:PHE45 PHC65581:PHE65581 PHC131117:PHE131117 PHC196653:PHE196653 PHC262189:PHE262189 PHC327725:PHE327725 PHC393261:PHE393261 PHC458797:PHE458797 PHC524333:PHE524333 PHC589869:PHE589869 PHC655405:PHE655405 PHC720941:PHE720941 PHC786477:PHE786477 PHC852013:PHE852013 PHC917549:PHE917549 PHC983085:PHE983085 PQY45:PRA45 PQY65581:PRA65581 PQY131117:PRA131117 PQY196653:PRA196653 PQY262189:PRA262189 PQY327725:PRA327725 PQY393261:PRA393261 PQY458797:PRA458797 PQY524333:PRA524333 PQY589869:PRA589869 PQY655405:PRA655405 PQY720941:PRA720941 PQY786477:PRA786477 PQY852013:PRA852013 PQY917549:PRA917549 PQY983085:PRA983085 QAU45:QAW45 QAU65581:QAW65581 QAU131117:QAW131117 QAU196653:QAW196653 QAU262189:QAW262189 QAU327725:QAW327725 QAU393261:QAW393261 QAU458797:QAW458797 QAU524333:QAW524333 QAU589869:QAW589869 QAU655405:QAW655405 QAU720941:QAW720941 QAU786477:QAW786477 QAU852013:QAW852013 QAU917549:QAW917549 QAU983085:QAW983085 QKQ45:QKS45 QKQ65581:QKS65581 QKQ131117:QKS131117 QKQ196653:QKS196653 QKQ262189:QKS262189 QKQ327725:QKS327725 QKQ393261:QKS393261 QKQ458797:QKS458797 QKQ524333:QKS524333 QKQ589869:QKS589869 QKQ655405:QKS655405 QKQ720941:QKS720941 QKQ786477:QKS786477 QKQ852013:QKS852013 QKQ917549:QKS917549 QKQ983085:QKS983085 QUM45:QUO45 QUM65581:QUO65581 QUM131117:QUO131117 QUM196653:QUO196653 QUM262189:QUO262189 QUM327725:QUO327725 QUM393261:QUO393261 QUM458797:QUO458797 QUM524333:QUO524333 QUM589869:QUO589869 QUM655405:QUO655405 QUM720941:QUO720941 QUM786477:QUO786477 QUM852013:QUO852013 QUM917549:QUO917549 QUM983085:QUO983085 REI45:REK45 REI65581:REK65581 REI131117:REK131117 REI196653:REK196653 REI262189:REK262189 REI327725:REK327725 REI393261:REK393261 REI458797:REK458797 REI524333:REK524333 REI589869:REK589869 REI655405:REK655405 REI720941:REK720941 REI786477:REK786477 REI852013:REK852013 REI917549:REK917549 REI983085:REK983085 ROE45:ROG45 ROE65581:ROG65581 ROE131117:ROG131117 ROE196653:ROG196653 ROE262189:ROG262189 ROE327725:ROG327725 ROE393261:ROG393261 ROE458797:ROG458797 ROE524333:ROG524333 ROE589869:ROG589869 ROE655405:ROG655405 ROE720941:ROG720941 ROE786477:ROG786477 ROE852013:ROG852013 ROE917549:ROG917549 ROE983085:ROG983085 RYA45:RYC45 RYA65581:RYC65581 RYA131117:RYC131117 RYA196653:RYC196653 RYA262189:RYC262189 RYA327725:RYC327725 RYA393261:RYC393261 RYA458797:RYC458797 RYA524333:RYC524333 RYA589869:RYC589869 RYA655405:RYC655405 RYA720941:RYC720941 RYA786477:RYC786477 RYA852013:RYC852013 RYA917549:RYC917549 RYA983085:RYC983085 SHW45:SHY45 SHW65581:SHY65581 SHW131117:SHY131117 SHW196653:SHY196653 SHW262189:SHY262189 SHW327725:SHY327725 SHW393261:SHY393261 SHW458797:SHY458797 SHW524333:SHY524333 SHW589869:SHY589869 SHW655405:SHY655405 SHW720941:SHY720941 SHW786477:SHY786477 SHW852013:SHY852013 SHW917549:SHY917549 SHW983085:SHY983085 SRS45:SRU45 SRS65581:SRU65581 SRS131117:SRU131117 SRS196653:SRU196653 SRS262189:SRU262189 SRS327725:SRU327725 SRS393261:SRU393261 SRS458797:SRU458797 SRS524333:SRU524333 SRS589869:SRU589869 SRS655405:SRU655405 SRS720941:SRU720941 SRS786477:SRU786477 SRS852013:SRU852013 SRS917549:SRU917549 SRS983085:SRU983085 TBO45:TBQ45 TBO65581:TBQ65581 TBO131117:TBQ131117 TBO196653:TBQ196653 TBO262189:TBQ262189 TBO327725:TBQ327725 TBO393261:TBQ393261 TBO458797:TBQ458797 TBO524333:TBQ524333 TBO589869:TBQ589869 TBO655405:TBQ655405 TBO720941:TBQ720941 TBO786477:TBQ786477 TBO852013:TBQ852013 TBO917549:TBQ917549 TBO983085:TBQ983085 TLK45:TLM45 TLK65581:TLM65581 TLK131117:TLM131117 TLK196653:TLM196653 TLK262189:TLM262189 TLK327725:TLM327725 TLK393261:TLM393261 TLK458797:TLM458797 TLK524333:TLM524333 TLK589869:TLM589869 TLK655405:TLM655405 TLK720941:TLM720941 TLK786477:TLM786477 TLK852013:TLM852013 TLK917549:TLM917549 TLK983085:TLM983085 TVG45:TVI45 TVG65581:TVI65581 TVG131117:TVI131117 TVG196653:TVI196653 TVG262189:TVI262189 TVG327725:TVI327725 TVG393261:TVI393261 TVG458797:TVI458797 TVG524333:TVI524333 TVG589869:TVI589869 TVG655405:TVI655405 TVG720941:TVI720941 TVG786477:TVI786477 TVG852013:TVI852013 TVG917549:TVI917549 TVG983085:TVI983085 UFC45:UFE45 UFC65581:UFE65581 UFC131117:UFE131117 UFC196653:UFE196653 UFC262189:UFE262189 UFC327725:UFE327725 UFC393261:UFE393261 UFC458797:UFE458797 UFC524333:UFE524333 UFC589869:UFE589869 UFC655405:UFE655405 UFC720941:UFE720941 UFC786477:UFE786477 UFC852013:UFE852013 UFC917549:UFE917549 UFC983085:UFE983085 UOY45:UPA45 UOY65581:UPA65581 UOY131117:UPA131117 UOY196653:UPA196653 UOY262189:UPA262189 UOY327725:UPA327725 UOY393261:UPA393261 UOY458797:UPA458797 UOY524333:UPA524333 UOY589869:UPA589869 UOY655405:UPA655405 UOY720941:UPA720941 UOY786477:UPA786477 UOY852013:UPA852013 UOY917549:UPA917549 UOY983085:UPA983085 UYU45:UYW45 UYU65581:UYW65581 UYU131117:UYW131117 UYU196653:UYW196653 UYU262189:UYW262189 UYU327725:UYW327725 UYU393261:UYW393261 UYU458797:UYW458797 UYU524333:UYW524333 UYU589869:UYW589869 UYU655405:UYW655405 UYU720941:UYW720941 UYU786477:UYW786477 UYU852013:UYW852013 UYU917549:UYW917549 UYU983085:UYW983085 VIQ45:VIS45 VIQ65581:VIS65581 VIQ131117:VIS131117 VIQ196653:VIS196653 VIQ262189:VIS262189 VIQ327725:VIS327725 VIQ393261:VIS393261 VIQ458797:VIS458797 VIQ524333:VIS524333 VIQ589869:VIS589869 VIQ655405:VIS655405 VIQ720941:VIS720941 VIQ786477:VIS786477 VIQ852013:VIS852013 VIQ917549:VIS917549 VIQ983085:VIS983085 VSM45:VSO45 VSM65581:VSO65581 VSM131117:VSO131117 VSM196653:VSO196653 VSM262189:VSO262189 VSM327725:VSO327725 VSM393261:VSO393261 VSM458797:VSO458797 VSM524333:VSO524333 VSM589869:VSO589869 VSM655405:VSO655405 VSM720941:VSO720941 VSM786477:VSO786477 VSM852013:VSO852013 VSM917549:VSO917549 VSM983085:VSO983085 WCI45:WCK45 WCI65581:WCK65581 WCI131117:WCK131117 WCI196653:WCK196653 WCI262189:WCK262189 WCI327725:WCK327725 WCI393261:WCK393261 WCI458797:WCK458797 WCI524333:WCK524333 WCI589869:WCK589869 WCI655405:WCK655405 WCI720941:WCK720941 WCI786477:WCK786477 WCI852013:WCK852013 WCI917549:WCK917549 WCI983085:WCK983085 WME45:WMG45 WME65581:WMG65581 WME131117:WMG131117 WME196653:WMG196653 WME262189:WMG262189 WME327725:WMG327725 WME393261:WMG393261 WME458797:WMG458797 WME524333:WMG524333 WME589869:WMG589869 WME655405:WMG655405 WME720941:WMG720941 WME786477:WMG786477 WME852013:WMG852013 WME917549:WMG917549 WME983085:WMG983085 WWA45:WWC45 WWA65581:WWC65581 WWA131117:WWC131117 WWA196653:WWC196653 WWA262189:WWC262189 WWA327725:WWC327725 WWA393261:WWC393261 WWA458797:WWC458797 WWA524333:WWC524333 WWA589869:WWC589869 WWA655405:WWC655405 WWA720941:WWC720941 WWA786477:WWC786477 WWA852013:WWC852013 WWA917549:WWC917549 WWA983085:WWC983085" xr:uid="{00000000-0002-0000-1400-000007000000}">
      <formula1>"　,大臣,愛知県知事"</formula1>
    </dataValidation>
    <dataValidation type="list" allowBlank="1" showInputMessage="1" sqref="W45:Z45 W65581:Z65581 W131117:Z131117 W196653:Z196653 W262189:Z262189 W327725:Z327725 W393261:Z393261 W458797:Z458797 W524333:Z524333 W589869:Z589869 W655405:Z655405 W720941:Z720941 W786477:Z786477 W852013:Z852013 W917549:Z917549 W983085:Z983085 JS45:JV45 JS65581:JV65581 JS131117:JV131117 JS196653:JV196653 JS262189:JV262189 JS327725:JV327725 JS393261:JV393261 JS458797:JV458797 JS524333:JV524333 JS589869:JV589869 JS655405:JV655405 JS720941:JV720941 JS786477:JV786477 JS852013:JV852013 JS917549:JV917549 JS983085:JV983085 TO45:TR45 TO65581:TR65581 TO131117:TR131117 TO196653:TR196653 TO262189:TR262189 TO327725:TR327725 TO393261:TR393261 TO458797:TR458797 TO524333:TR524333 TO589869:TR589869 TO655405:TR655405 TO720941:TR720941 TO786477:TR786477 TO852013:TR852013 TO917549:TR917549 TO983085:TR983085 ADK45:ADN45 ADK65581:ADN65581 ADK131117:ADN131117 ADK196653:ADN196653 ADK262189:ADN262189 ADK327725:ADN327725 ADK393261:ADN393261 ADK458797:ADN458797 ADK524333:ADN524333 ADK589869:ADN589869 ADK655405:ADN655405 ADK720941:ADN720941 ADK786477:ADN786477 ADK852013:ADN852013 ADK917549:ADN917549 ADK983085:ADN983085 ANG45:ANJ45 ANG65581:ANJ65581 ANG131117:ANJ131117 ANG196653:ANJ196653 ANG262189:ANJ262189 ANG327725:ANJ327725 ANG393261:ANJ393261 ANG458797:ANJ458797 ANG524333:ANJ524333 ANG589869:ANJ589869 ANG655405:ANJ655405 ANG720941:ANJ720941 ANG786477:ANJ786477 ANG852013:ANJ852013 ANG917549:ANJ917549 ANG983085:ANJ983085 AXC45:AXF45 AXC65581:AXF65581 AXC131117:AXF131117 AXC196653:AXF196653 AXC262189:AXF262189 AXC327725:AXF327725 AXC393261:AXF393261 AXC458797:AXF458797 AXC524333:AXF524333 AXC589869:AXF589869 AXC655405:AXF655405 AXC720941:AXF720941 AXC786477:AXF786477 AXC852013:AXF852013 AXC917549:AXF917549 AXC983085:AXF983085 BGY45:BHB45 BGY65581:BHB65581 BGY131117:BHB131117 BGY196653:BHB196653 BGY262189:BHB262189 BGY327725:BHB327725 BGY393261:BHB393261 BGY458797:BHB458797 BGY524333:BHB524333 BGY589869:BHB589869 BGY655405:BHB655405 BGY720941:BHB720941 BGY786477:BHB786477 BGY852013:BHB852013 BGY917549:BHB917549 BGY983085:BHB983085 BQU45:BQX45 BQU65581:BQX65581 BQU131117:BQX131117 BQU196653:BQX196653 BQU262189:BQX262189 BQU327725:BQX327725 BQU393261:BQX393261 BQU458797:BQX458797 BQU524333:BQX524333 BQU589869:BQX589869 BQU655405:BQX655405 BQU720941:BQX720941 BQU786477:BQX786477 BQU852013:BQX852013 BQU917549:BQX917549 BQU983085:BQX983085 CAQ45:CAT45 CAQ65581:CAT65581 CAQ131117:CAT131117 CAQ196653:CAT196653 CAQ262189:CAT262189 CAQ327725:CAT327725 CAQ393261:CAT393261 CAQ458797:CAT458797 CAQ524333:CAT524333 CAQ589869:CAT589869 CAQ655405:CAT655405 CAQ720941:CAT720941 CAQ786477:CAT786477 CAQ852013:CAT852013 CAQ917549:CAT917549 CAQ983085:CAT983085 CKM45:CKP45 CKM65581:CKP65581 CKM131117:CKP131117 CKM196653:CKP196653 CKM262189:CKP262189 CKM327725:CKP327725 CKM393261:CKP393261 CKM458797:CKP458797 CKM524333:CKP524333 CKM589869:CKP589869 CKM655405:CKP655405 CKM720941:CKP720941 CKM786477:CKP786477 CKM852013:CKP852013 CKM917549:CKP917549 CKM983085:CKP983085 CUI45:CUL45 CUI65581:CUL65581 CUI131117:CUL131117 CUI196653:CUL196653 CUI262189:CUL262189 CUI327725:CUL327725 CUI393261:CUL393261 CUI458797:CUL458797 CUI524333:CUL524333 CUI589869:CUL589869 CUI655405:CUL655405 CUI720941:CUL720941 CUI786477:CUL786477 CUI852013:CUL852013 CUI917549:CUL917549 CUI983085:CUL983085 DEE45:DEH45 DEE65581:DEH65581 DEE131117:DEH131117 DEE196653:DEH196653 DEE262189:DEH262189 DEE327725:DEH327725 DEE393261:DEH393261 DEE458797:DEH458797 DEE524333:DEH524333 DEE589869:DEH589869 DEE655405:DEH655405 DEE720941:DEH720941 DEE786477:DEH786477 DEE852013:DEH852013 DEE917549:DEH917549 DEE983085:DEH983085 DOA45:DOD45 DOA65581:DOD65581 DOA131117:DOD131117 DOA196653:DOD196653 DOA262189:DOD262189 DOA327725:DOD327725 DOA393261:DOD393261 DOA458797:DOD458797 DOA524333:DOD524333 DOA589869:DOD589869 DOA655405:DOD655405 DOA720941:DOD720941 DOA786477:DOD786477 DOA852013:DOD852013 DOA917549:DOD917549 DOA983085:DOD983085 DXW45:DXZ45 DXW65581:DXZ65581 DXW131117:DXZ131117 DXW196653:DXZ196653 DXW262189:DXZ262189 DXW327725:DXZ327725 DXW393261:DXZ393261 DXW458797:DXZ458797 DXW524333:DXZ524333 DXW589869:DXZ589869 DXW655405:DXZ655405 DXW720941:DXZ720941 DXW786477:DXZ786477 DXW852013:DXZ852013 DXW917549:DXZ917549 DXW983085:DXZ983085 EHS45:EHV45 EHS65581:EHV65581 EHS131117:EHV131117 EHS196653:EHV196653 EHS262189:EHV262189 EHS327725:EHV327725 EHS393261:EHV393261 EHS458797:EHV458797 EHS524333:EHV524333 EHS589869:EHV589869 EHS655405:EHV655405 EHS720941:EHV720941 EHS786477:EHV786477 EHS852013:EHV852013 EHS917549:EHV917549 EHS983085:EHV983085 ERO45:ERR45 ERO65581:ERR65581 ERO131117:ERR131117 ERO196653:ERR196653 ERO262189:ERR262189 ERO327725:ERR327725 ERO393261:ERR393261 ERO458797:ERR458797 ERO524333:ERR524333 ERO589869:ERR589869 ERO655405:ERR655405 ERO720941:ERR720941 ERO786477:ERR786477 ERO852013:ERR852013 ERO917549:ERR917549 ERO983085:ERR983085 FBK45:FBN45 FBK65581:FBN65581 FBK131117:FBN131117 FBK196653:FBN196653 FBK262189:FBN262189 FBK327725:FBN327725 FBK393261:FBN393261 FBK458797:FBN458797 FBK524333:FBN524333 FBK589869:FBN589869 FBK655405:FBN655405 FBK720941:FBN720941 FBK786477:FBN786477 FBK852013:FBN852013 FBK917549:FBN917549 FBK983085:FBN983085 FLG45:FLJ45 FLG65581:FLJ65581 FLG131117:FLJ131117 FLG196653:FLJ196653 FLG262189:FLJ262189 FLG327725:FLJ327725 FLG393261:FLJ393261 FLG458797:FLJ458797 FLG524333:FLJ524333 FLG589869:FLJ589869 FLG655405:FLJ655405 FLG720941:FLJ720941 FLG786477:FLJ786477 FLG852013:FLJ852013 FLG917549:FLJ917549 FLG983085:FLJ983085 FVC45:FVF45 FVC65581:FVF65581 FVC131117:FVF131117 FVC196653:FVF196653 FVC262189:FVF262189 FVC327725:FVF327725 FVC393261:FVF393261 FVC458797:FVF458797 FVC524333:FVF524333 FVC589869:FVF589869 FVC655405:FVF655405 FVC720941:FVF720941 FVC786477:FVF786477 FVC852013:FVF852013 FVC917549:FVF917549 FVC983085:FVF983085 GEY45:GFB45 GEY65581:GFB65581 GEY131117:GFB131117 GEY196653:GFB196653 GEY262189:GFB262189 GEY327725:GFB327725 GEY393261:GFB393261 GEY458797:GFB458797 GEY524333:GFB524333 GEY589869:GFB589869 GEY655405:GFB655405 GEY720941:GFB720941 GEY786477:GFB786477 GEY852013:GFB852013 GEY917549:GFB917549 GEY983085:GFB983085 GOU45:GOX45 GOU65581:GOX65581 GOU131117:GOX131117 GOU196653:GOX196653 GOU262189:GOX262189 GOU327725:GOX327725 GOU393261:GOX393261 GOU458797:GOX458797 GOU524333:GOX524333 GOU589869:GOX589869 GOU655405:GOX655405 GOU720941:GOX720941 GOU786477:GOX786477 GOU852013:GOX852013 GOU917549:GOX917549 GOU983085:GOX983085 GYQ45:GYT45 GYQ65581:GYT65581 GYQ131117:GYT131117 GYQ196653:GYT196653 GYQ262189:GYT262189 GYQ327725:GYT327725 GYQ393261:GYT393261 GYQ458797:GYT458797 GYQ524333:GYT524333 GYQ589869:GYT589869 GYQ655405:GYT655405 GYQ720941:GYT720941 GYQ786477:GYT786477 GYQ852013:GYT852013 GYQ917549:GYT917549 GYQ983085:GYT983085 HIM45:HIP45 HIM65581:HIP65581 HIM131117:HIP131117 HIM196653:HIP196653 HIM262189:HIP262189 HIM327725:HIP327725 HIM393261:HIP393261 HIM458797:HIP458797 HIM524333:HIP524333 HIM589869:HIP589869 HIM655405:HIP655405 HIM720941:HIP720941 HIM786477:HIP786477 HIM852013:HIP852013 HIM917549:HIP917549 HIM983085:HIP983085 HSI45:HSL45 HSI65581:HSL65581 HSI131117:HSL131117 HSI196653:HSL196653 HSI262189:HSL262189 HSI327725:HSL327725 HSI393261:HSL393261 HSI458797:HSL458797 HSI524333:HSL524333 HSI589869:HSL589869 HSI655405:HSL655405 HSI720941:HSL720941 HSI786477:HSL786477 HSI852013:HSL852013 HSI917549:HSL917549 HSI983085:HSL983085 ICE45:ICH45 ICE65581:ICH65581 ICE131117:ICH131117 ICE196653:ICH196653 ICE262189:ICH262189 ICE327725:ICH327725 ICE393261:ICH393261 ICE458797:ICH458797 ICE524333:ICH524333 ICE589869:ICH589869 ICE655405:ICH655405 ICE720941:ICH720941 ICE786477:ICH786477 ICE852013:ICH852013 ICE917549:ICH917549 ICE983085:ICH983085 IMA45:IMD45 IMA65581:IMD65581 IMA131117:IMD131117 IMA196653:IMD196653 IMA262189:IMD262189 IMA327725:IMD327725 IMA393261:IMD393261 IMA458797:IMD458797 IMA524333:IMD524333 IMA589869:IMD589869 IMA655405:IMD655405 IMA720941:IMD720941 IMA786477:IMD786477 IMA852013:IMD852013 IMA917549:IMD917549 IMA983085:IMD983085 IVW45:IVZ45 IVW65581:IVZ65581 IVW131117:IVZ131117 IVW196653:IVZ196653 IVW262189:IVZ262189 IVW327725:IVZ327725 IVW393261:IVZ393261 IVW458797:IVZ458797 IVW524333:IVZ524333 IVW589869:IVZ589869 IVW655405:IVZ655405 IVW720941:IVZ720941 IVW786477:IVZ786477 IVW852013:IVZ852013 IVW917549:IVZ917549 IVW983085:IVZ983085 JFS45:JFV45 JFS65581:JFV65581 JFS131117:JFV131117 JFS196653:JFV196653 JFS262189:JFV262189 JFS327725:JFV327725 JFS393261:JFV393261 JFS458797:JFV458797 JFS524333:JFV524333 JFS589869:JFV589869 JFS655405:JFV655405 JFS720941:JFV720941 JFS786477:JFV786477 JFS852013:JFV852013 JFS917549:JFV917549 JFS983085:JFV983085 JPO45:JPR45 JPO65581:JPR65581 JPO131117:JPR131117 JPO196653:JPR196653 JPO262189:JPR262189 JPO327725:JPR327725 JPO393261:JPR393261 JPO458797:JPR458797 JPO524333:JPR524333 JPO589869:JPR589869 JPO655405:JPR655405 JPO720941:JPR720941 JPO786477:JPR786477 JPO852013:JPR852013 JPO917549:JPR917549 JPO983085:JPR983085 JZK45:JZN45 JZK65581:JZN65581 JZK131117:JZN131117 JZK196653:JZN196653 JZK262189:JZN262189 JZK327725:JZN327725 JZK393261:JZN393261 JZK458797:JZN458797 JZK524333:JZN524333 JZK589869:JZN589869 JZK655405:JZN655405 JZK720941:JZN720941 JZK786477:JZN786477 JZK852013:JZN852013 JZK917549:JZN917549 JZK983085:JZN983085 KJG45:KJJ45 KJG65581:KJJ65581 KJG131117:KJJ131117 KJG196653:KJJ196653 KJG262189:KJJ262189 KJG327725:KJJ327725 KJG393261:KJJ393261 KJG458797:KJJ458797 KJG524333:KJJ524333 KJG589869:KJJ589869 KJG655405:KJJ655405 KJG720941:KJJ720941 KJG786477:KJJ786477 KJG852013:KJJ852013 KJG917549:KJJ917549 KJG983085:KJJ983085 KTC45:KTF45 KTC65581:KTF65581 KTC131117:KTF131117 KTC196653:KTF196653 KTC262189:KTF262189 KTC327725:KTF327725 KTC393261:KTF393261 KTC458797:KTF458797 KTC524333:KTF524333 KTC589869:KTF589869 KTC655405:KTF655405 KTC720941:KTF720941 KTC786477:KTF786477 KTC852013:KTF852013 KTC917549:KTF917549 KTC983085:KTF983085 LCY45:LDB45 LCY65581:LDB65581 LCY131117:LDB131117 LCY196653:LDB196653 LCY262189:LDB262189 LCY327725:LDB327725 LCY393261:LDB393261 LCY458797:LDB458797 LCY524333:LDB524333 LCY589869:LDB589869 LCY655405:LDB655405 LCY720941:LDB720941 LCY786477:LDB786477 LCY852013:LDB852013 LCY917549:LDB917549 LCY983085:LDB983085 LMU45:LMX45 LMU65581:LMX65581 LMU131117:LMX131117 LMU196653:LMX196653 LMU262189:LMX262189 LMU327725:LMX327725 LMU393261:LMX393261 LMU458797:LMX458797 LMU524333:LMX524333 LMU589869:LMX589869 LMU655405:LMX655405 LMU720941:LMX720941 LMU786477:LMX786477 LMU852013:LMX852013 LMU917549:LMX917549 LMU983085:LMX983085 LWQ45:LWT45 LWQ65581:LWT65581 LWQ131117:LWT131117 LWQ196653:LWT196653 LWQ262189:LWT262189 LWQ327725:LWT327725 LWQ393261:LWT393261 LWQ458797:LWT458797 LWQ524333:LWT524333 LWQ589869:LWT589869 LWQ655405:LWT655405 LWQ720941:LWT720941 LWQ786477:LWT786477 LWQ852013:LWT852013 LWQ917549:LWT917549 LWQ983085:LWT983085 MGM45:MGP45 MGM65581:MGP65581 MGM131117:MGP131117 MGM196653:MGP196653 MGM262189:MGP262189 MGM327725:MGP327725 MGM393261:MGP393261 MGM458797:MGP458797 MGM524333:MGP524333 MGM589869:MGP589869 MGM655405:MGP655405 MGM720941:MGP720941 MGM786477:MGP786477 MGM852013:MGP852013 MGM917549:MGP917549 MGM983085:MGP983085 MQI45:MQL45 MQI65581:MQL65581 MQI131117:MQL131117 MQI196653:MQL196653 MQI262189:MQL262189 MQI327725:MQL327725 MQI393261:MQL393261 MQI458797:MQL458797 MQI524333:MQL524333 MQI589869:MQL589869 MQI655405:MQL655405 MQI720941:MQL720941 MQI786477:MQL786477 MQI852013:MQL852013 MQI917549:MQL917549 MQI983085:MQL983085 NAE45:NAH45 NAE65581:NAH65581 NAE131117:NAH131117 NAE196653:NAH196653 NAE262189:NAH262189 NAE327725:NAH327725 NAE393261:NAH393261 NAE458797:NAH458797 NAE524333:NAH524333 NAE589869:NAH589869 NAE655405:NAH655405 NAE720941:NAH720941 NAE786477:NAH786477 NAE852013:NAH852013 NAE917549:NAH917549 NAE983085:NAH983085 NKA45:NKD45 NKA65581:NKD65581 NKA131117:NKD131117 NKA196653:NKD196653 NKA262189:NKD262189 NKA327725:NKD327725 NKA393261:NKD393261 NKA458797:NKD458797 NKA524333:NKD524333 NKA589869:NKD589869 NKA655405:NKD655405 NKA720941:NKD720941 NKA786477:NKD786477 NKA852013:NKD852013 NKA917549:NKD917549 NKA983085:NKD983085 NTW45:NTZ45 NTW65581:NTZ65581 NTW131117:NTZ131117 NTW196653:NTZ196653 NTW262189:NTZ262189 NTW327725:NTZ327725 NTW393261:NTZ393261 NTW458797:NTZ458797 NTW524333:NTZ524333 NTW589869:NTZ589869 NTW655405:NTZ655405 NTW720941:NTZ720941 NTW786477:NTZ786477 NTW852013:NTZ852013 NTW917549:NTZ917549 NTW983085:NTZ983085 ODS45:ODV45 ODS65581:ODV65581 ODS131117:ODV131117 ODS196653:ODV196653 ODS262189:ODV262189 ODS327725:ODV327725 ODS393261:ODV393261 ODS458797:ODV458797 ODS524333:ODV524333 ODS589869:ODV589869 ODS655405:ODV655405 ODS720941:ODV720941 ODS786477:ODV786477 ODS852013:ODV852013 ODS917549:ODV917549 ODS983085:ODV983085 ONO45:ONR45 ONO65581:ONR65581 ONO131117:ONR131117 ONO196653:ONR196653 ONO262189:ONR262189 ONO327725:ONR327725 ONO393261:ONR393261 ONO458797:ONR458797 ONO524333:ONR524333 ONO589869:ONR589869 ONO655405:ONR655405 ONO720941:ONR720941 ONO786477:ONR786477 ONO852013:ONR852013 ONO917549:ONR917549 ONO983085:ONR983085 OXK45:OXN45 OXK65581:OXN65581 OXK131117:OXN131117 OXK196653:OXN196653 OXK262189:OXN262189 OXK327725:OXN327725 OXK393261:OXN393261 OXK458797:OXN458797 OXK524333:OXN524333 OXK589869:OXN589869 OXK655405:OXN655405 OXK720941:OXN720941 OXK786477:OXN786477 OXK852013:OXN852013 OXK917549:OXN917549 OXK983085:OXN983085 PHG45:PHJ45 PHG65581:PHJ65581 PHG131117:PHJ131117 PHG196653:PHJ196653 PHG262189:PHJ262189 PHG327725:PHJ327725 PHG393261:PHJ393261 PHG458797:PHJ458797 PHG524333:PHJ524333 PHG589869:PHJ589869 PHG655405:PHJ655405 PHG720941:PHJ720941 PHG786477:PHJ786477 PHG852013:PHJ852013 PHG917549:PHJ917549 PHG983085:PHJ983085 PRC45:PRF45 PRC65581:PRF65581 PRC131117:PRF131117 PRC196653:PRF196653 PRC262189:PRF262189 PRC327725:PRF327725 PRC393261:PRF393261 PRC458797:PRF458797 PRC524333:PRF524333 PRC589869:PRF589869 PRC655405:PRF655405 PRC720941:PRF720941 PRC786477:PRF786477 PRC852013:PRF852013 PRC917549:PRF917549 PRC983085:PRF983085 QAY45:QBB45 QAY65581:QBB65581 QAY131117:QBB131117 QAY196653:QBB196653 QAY262189:QBB262189 QAY327725:QBB327725 QAY393261:QBB393261 QAY458797:QBB458797 QAY524333:QBB524333 QAY589869:QBB589869 QAY655405:QBB655405 QAY720941:QBB720941 QAY786477:QBB786477 QAY852013:QBB852013 QAY917549:QBB917549 QAY983085:QBB983085 QKU45:QKX45 QKU65581:QKX65581 QKU131117:QKX131117 QKU196653:QKX196653 QKU262189:QKX262189 QKU327725:QKX327725 QKU393261:QKX393261 QKU458797:QKX458797 QKU524333:QKX524333 QKU589869:QKX589869 QKU655405:QKX655405 QKU720941:QKX720941 QKU786477:QKX786477 QKU852013:QKX852013 QKU917549:QKX917549 QKU983085:QKX983085 QUQ45:QUT45 QUQ65581:QUT65581 QUQ131117:QUT131117 QUQ196653:QUT196653 QUQ262189:QUT262189 QUQ327725:QUT327725 QUQ393261:QUT393261 QUQ458797:QUT458797 QUQ524333:QUT524333 QUQ589869:QUT589869 QUQ655405:QUT655405 QUQ720941:QUT720941 QUQ786477:QUT786477 QUQ852013:QUT852013 QUQ917549:QUT917549 QUQ983085:QUT983085 REM45:REP45 REM65581:REP65581 REM131117:REP131117 REM196653:REP196653 REM262189:REP262189 REM327725:REP327725 REM393261:REP393261 REM458797:REP458797 REM524333:REP524333 REM589869:REP589869 REM655405:REP655405 REM720941:REP720941 REM786477:REP786477 REM852013:REP852013 REM917549:REP917549 REM983085:REP983085 ROI45:ROL45 ROI65581:ROL65581 ROI131117:ROL131117 ROI196653:ROL196653 ROI262189:ROL262189 ROI327725:ROL327725 ROI393261:ROL393261 ROI458797:ROL458797 ROI524333:ROL524333 ROI589869:ROL589869 ROI655405:ROL655405 ROI720941:ROL720941 ROI786477:ROL786477 ROI852013:ROL852013 ROI917549:ROL917549 ROI983085:ROL983085 RYE45:RYH45 RYE65581:RYH65581 RYE131117:RYH131117 RYE196653:RYH196653 RYE262189:RYH262189 RYE327725:RYH327725 RYE393261:RYH393261 RYE458797:RYH458797 RYE524333:RYH524333 RYE589869:RYH589869 RYE655405:RYH655405 RYE720941:RYH720941 RYE786477:RYH786477 RYE852013:RYH852013 RYE917549:RYH917549 RYE983085:RYH983085 SIA45:SID45 SIA65581:SID65581 SIA131117:SID131117 SIA196653:SID196653 SIA262189:SID262189 SIA327725:SID327725 SIA393261:SID393261 SIA458797:SID458797 SIA524333:SID524333 SIA589869:SID589869 SIA655405:SID655405 SIA720941:SID720941 SIA786477:SID786477 SIA852013:SID852013 SIA917549:SID917549 SIA983085:SID983085 SRW45:SRZ45 SRW65581:SRZ65581 SRW131117:SRZ131117 SRW196653:SRZ196653 SRW262189:SRZ262189 SRW327725:SRZ327725 SRW393261:SRZ393261 SRW458797:SRZ458797 SRW524333:SRZ524333 SRW589869:SRZ589869 SRW655405:SRZ655405 SRW720941:SRZ720941 SRW786477:SRZ786477 SRW852013:SRZ852013 SRW917549:SRZ917549 SRW983085:SRZ983085 TBS45:TBV45 TBS65581:TBV65581 TBS131117:TBV131117 TBS196653:TBV196653 TBS262189:TBV262189 TBS327725:TBV327725 TBS393261:TBV393261 TBS458797:TBV458797 TBS524333:TBV524333 TBS589869:TBV589869 TBS655405:TBV655405 TBS720941:TBV720941 TBS786477:TBV786477 TBS852013:TBV852013 TBS917549:TBV917549 TBS983085:TBV983085 TLO45:TLR45 TLO65581:TLR65581 TLO131117:TLR131117 TLO196653:TLR196653 TLO262189:TLR262189 TLO327725:TLR327725 TLO393261:TLR393261 TLO458797:TLR458797 TLO524333:TLR524333 TLO589869:TLR589869 TLO655405:TLR655405 TLO720941:TLR720941 TLO786477:TLR786477 TLO852013:TLR852013 TLO917549:TLR917549 TLO983085:TLR983085 TVK45:TVN45 TVK65581:TVN65581 TVK131117:TVN131117 TVK196653:TVN196653 TVK262189:TVN262189 TVK327725:TVN327725 TVK393261:TVN393261 TVK458797:TVN458797 TVK524333:TVN524333 TVK589869:TVN589869 TVK655405:TVN655405 TVK720941:TVN720941 TVK786477:TVN786477 TVK852013:TVN852013 TVK917549:TVN917549 TVK983085:TVN983085 UFG45:UFJ45 UFG65581:UFJ65581 UFG131117:UFJ131117 UFG196653:UFJ196653 UFG262189:UFJ262189 UFG327725:UFJ327725 UFG393261:UFJ393261 UFG458797:UFJ458797 UFG524333:UFJ524333 UFG589869:UFJ589869 UFG655405:UFJ655405 UFG720941:UFJ720941 UFG786477:UFJ786477 UFG852013:UFJ852013 UFG917549:UFJ917549 UFG983085:UFJ983085 UPC45:UPF45 UPC65581:UPF65581 UPC131117:UPF131117 UPC196653:UPF196653 UPC262189:UPF262189 UPC327725:UPF327725 UPC393261:UPF393261 UPC458797:UPF458797 UPC524333:UPF524333 UPC589869:UPF589869 UPC655405:UPF655405 UPC720941:UPF720941 UPC786477:UPF786477 UPC852013:UPF852013 UPC917549:UPF917549 UPC983085:UPF983085 UYY45:UZB45 UYY65581:UZB65581 UYY131117:UZB131117 UYY196653:UZB196653 UYY262189:UZB262189 UYY327725:UZB327725 UYY393261:UZB393261 UYY458797:UZB458797 UYY524333:UZB524333 UYY589869:UZB589869 UYY655405:UZB655405 UYY720941:UZB720941 UYY786477:UZB786477 UYY852013:UZB852013 UYY917549:UZB917549 UYY983085:UZB983085 VIU45:VIX45 VIU65581:VIX65581 VIU131117:VIX131117 VIU196653:VIX196653 VIU262189:VIX262189 VIU327725:VIX327725 VIU393261:VIX393261 VIU458797:VIX458797 VIU524333:VIX524333 VIU589869:VIX589869 VIU655405:VIX655405 VIU720941:VIX720941 VIU786477:VIX786477 VIU852013:VIX852013 VIU917549:VIX917549 VIU983085:VIX983085 VSQ45:VST45 VSQ65581:VST65581 VSQ131117:VST131117 VSQ196653:VST196653 VSQ262189:VST262189 VSQ327725:VST327725 VSQ393261:VST393261 VSQ458797:VST458797 VSQ524333:VST524333 VSQ589869:VST589869 VSQ655405:VST655405 VSQ720941:VST720941 VSQ786477:VST786477 VSQ852013:VST852013 VSQ917549:VST917549 VSQ983085:VST983085 WCM45:WCP45 WCM65581:WCP65581 WCM131117:WCP131117 WCM196653:WCP196653 WCM262189:WCP262189 WCM327725:WCP327725 WCM393261:WCP393261 WCM458797:WCP458797 WCM524333:WCP524333 WCM589869:WCP589869 WCM655405:WCP655405 WCM720941:WCP720941 WCM786477:WCP786477 WCM852013:WCP852013 WCM917549:WCP917549 WCM983085:WCP983085 WMI45:WML45 WMI65581:WML65581 WMI131117:WML131117 WMI196653:WML196653 WMI262189:WML262189 WMI327725:WML327725 WMI393261:WML393261 WMI458797:WML458797 WMI524333:WML524333 WMI589869:WML589869 WMI655405:WML655405 WMI720941:WML720941 WMI786477:WML786477 WMI852013:WML852013 WMI917549:WML917549 WMI983085:WML983085 WWE45:WWH45 WWE65581:WWH65581 WWE131117:WWH131117 WWE196653:WWH196653 WWE262189:WWH262189 WWE327725:WWH327725 WWE393261:WWH393261 WWE458797:WWH458797 WWE524333:WWH524333 WWE589869:WWH589869 WWE655405:WWH655405 WWE720941:WWH720941 WWE786477:WWH786477 WWE852013:WWH852013 WWE917549:WWH917549 WWE983085:WWH983085" xr:uid="{00000000-0002-0000-1400-000008000000}">
      <formula1>"　,特ー〇,般ー〇"</formula1>
    </dataValidation>
  </dataValidations>
  <printOptions horizontalCentered="1"/>
  <pageMargins left="0.23622047244094491" right="0.23622047244094491" top="0.74803149606299213" bottom="0.35433070866141736" header="0.31496062992125984" footer="0.31496062992125984"/>
  <pageSetup paperSize="9" scale="81" orientation="portrait" blackAndWhite="1" horizontalDpi="65533"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54"/>
  <sheetViews>
    <sheetView view="pageBreakPreview" zoomScaleNormal="100" zoomScaleSheetLayoutView="100" workbookViewId="0"/>
  </sheetViews>
  <sheetFormatPr defaultColWidth="9.125" defaultRowHeight="13.5"/>
  <cols>
    <col min="1" max="1" width="4.125" style="410" customWidth="1"/>
    <col min="2" max="7" width="6.125" style="410" customWidth="1"/>
    <col min="8" max="11" width="11.625" style="410" customWidth="1"/>
    <col min="12" max="12" width="10.625" style="410" customWidth="1"/>
    <col min="13" max="256" width="9" style="410" customWidth="1"/>
    <col min="257" max="257" width="4.125" style="410" customWidth="1"/>
    <col min="258" max="263" width="6.125" style="410" customWidth="1"/>
    <col min="264" max="267" width="11.625" style="410" customWidth="1"/>
    <col min="268" max="268" width="10.625" style="410" customWidth="1"/>
    <col min="269" max="512" width="9" style="410" customWidth="1"/>
    <col min="513" max="513" width="4.125" style="410" customWidth="1"/>
    <col min="514" max="519" width="6.125" style="410" customWidth="1"/>
    <col min="520" max="523" width="11.625" style="410" customWidth="1"/>
    <col min="524" max="524" width="10.625" style="410" customWidth="1"/>
    <col min="525" max="768" width="9" style="410" customWidth="1"/>
    <col min="769" max="769" width="4.125" style="410" customWidth="1"/>
    <col min="770" max="775" width="6.125" style="410" customWidth="1"/>
    <col min="776" max="779" width="11.625" style="410" customWidth="1"/>
    <col min="780" max="780" width="10.625" style="410" customWidth="1"/>
    <col min="781" max="1024" width="9" style="410" customWidth="1"/>
    <col min="1025" max="1025" width="4.125" style="410" customWidth="1"/>
    <col min="1026" max="1031" width="6.125" style="410" customWidth="1"/>
    <col min="1032" max="1035" width="11.625" style="410" customWidth="1"/>
    <col min="1036" max="1036" width="10.625" style="410" customWidth="1"/>
    <col min="1037" max="1280" width="9" style="410" customWidth="1"/>
    <col min="1281" max="1281" width="4.125" style="410" customWidth="1"/>
    <col min="1282" max="1287" width="6.125" style="410" customWidth="1"/>
    <col min="1288" max="1291" width="11.625" style="410" customWidth="1"/>
    <col min="1292" max="1292" width="10.625" style="410" customWidth="1"/>
    <col min="1293" max="1536" width="9" style="410" customWidth="1"/>
    <col min="1537" max="1537" width="4.125" style="410" customWidth="1"/>
    <col min="1538" max="1543" width="6.125" style="410" customWidth="1"/>
    <col min="1544" max="1547" width="11.625" style="410" customWidth="1"/>
    <col min="1548" max="1548" width="10.625" style="410" customWidth="1"/>
    <col min="1549" max="1792" width="9" style="410" customWidth="1"/>
    <col min="1793" max="1793" width="4.125" style="410" customWidth="1"/>
    <col min="1794" max="1799" width="6.125" style="410" customWidth="1"/>
    <col min="1800" max="1803" width="11.625" style="410" customWidth="1"/>
    <col min="1804" max="1804" width="10.625" style="410" customWidth="1"/>
    <col min="1805" max="2048" width="9" style="410" customWidth="1"/>
    <col min="2049" max="2049" width="4.125" style="410" customWidth="1"/>
    <col min="2050" max="2055" width="6.125" style="410" customWidth="1"/>
    <col min="2056" max="2059" width="11.625" style="410" customWidth="1"/>
    <col min="2060" max="2060" width="10.625" style="410" customWidth="1"/>
    <col min="2061" max="2304" width="9" style="410" customWidth="1"/>
    <col min="2305" max="2305" width="4.125" style="410" customWidth="1"/>
    <col min="2306" max="2311" width="6.125" style="410" customWidth="1"/>
    <col min="2312" max="2315" width="11.625" style="410" customWidth="1"/>
    <col min="2316" max="2316" width="10.625" style="410" customWidth="1"/>
    <col min="2317" max="2560" width="9" style="410" customWidth="1"/>
    <col min="2561" max="2561" width="4.125" style="410" customWidth="1"/>
    <col min="2562" max="2567" width="6.125" style="410" customWidth="1"/>
    <col min="2568" max="2571" width="11.625" style="410" customWidth="1"/>
    <col min="2572" max="2572" width="10.625" style="410" customWidth="1"/>
    <col min="2573" max="2816" width="9" style="410" customWidth="1"/>
    <col min="2817" max="2817" width="4.125" style="410" customWidth="1"/>
    <col min="2818" max="2823" width="6.125" style="410" customWidth="1"/>
    <col min="2824" max="2827" width="11.625" style="410" customWidth="1"/>
    <col min="2828" max="2828" width="10.625" style="410" customWidth="1"/>
    <col min="2829" max="3072" width="9" style="410" customWidth="1"/>
    <col min="3073" max="3073" width="4.125" style="410" customWidth="1"/>
    <col min="3074" max="3079" width="6.125" style="410" customWidth="1"/>
    <col min="3080" max="3083" width="11.625" style="410" customWidth="1"/>
    <col min="3084" max="3084" width="10.625" style="410" customWidth="1"/>
    <col min="3085" max="3328" width="9" style="410" customWidth="1"/>
    <col min="3329" max="3329" width="4.125" style="410" customWidth="1"/>
    <col min="3330" max="3335" width="6.125" style="410" customWidth="1"/>
    <col min="3336" max="3339" width="11.625" style="410" customWidth="1"/>
    <col min="3340" max="3340" width="10.625" style="410" customWidth="1"/>
    <col min="3341" max="3584" width="9" style="410" customWidth="1"/>
    <col min="3585" max="3585" width="4.125" style="410" customWidth="1"/>
    <col min="3586" max="3591" width="6.125" style="410" customWidth="1"/>
    <col min="3592" max="3595" width="11.625" style="410" customWidth="1"/>
    <col min="3596" max="3596" width="10.625" style="410" customWidth="1"/>
    <col min="3597" max="3840" width="9" style="410" customWidth="1"/>
    <col min="3841" max="3841" width="4.125" style="410" customWidth="1"/>
    <col min="3842" max="3847" width="6.125" style="410" customWidth="1"/>
    <col min="3848" max="3851" width="11.625" style="410" customWidth="1"/>
    <col min="3852" max="3852" width="10.625" style="410" customWidth="1"/>
    <col min="3853" max="4096" width="9" style="410" customWidth="1"/>
    <col min="4097" max="4097" width="4.125" style="410" customWidth="1"/>
    <col min="4098" max="4103" width="6.125" style="410" customWidth="1"/>
    <col min="4104" max="4107" width="11.625" style="410" customWidth="1"/>
    <col min="4108" max="4108" width="10.625" style="410" customWidth="1"/>
    <col min="4109" max="4352" width="9" style="410" customWidth="1"/>
    <col min="4353" max="4353" width="4.125" style="410" customWidth="1"/>
    <col min="4354" max="4359" width="6.125" style="410" customWidth="1"/>
    <col min="4360" max="4363" width="11.625" style="410" customWidth="1"/>
    <col min="4364" max="4364" width="10.625" style="410" customWidth="1"/>
    <col min="4365" max="4608" width="9" style="410" customWidth="1"/>
    <col min="4609" max="4609" width="4.125" style="410" customWidth="1"/>
    <col min="4610" max="4615" width="6.125" style="410" customWidth="1"/>
    <col min="4616" max="4619" width="11.625" style="410" customWidth="1"/>
    <col min="4620" max="4620" width="10.625" style="410" customWidth="1"/>
    <col min="4621" max="4864" width="9" style="410" customWidth="1"/>
    <col min="4865" max="4865" width="4.125" style="410" customWidth="1"/>
    <col min="4866" max="4871" width="6.125" style="410" customWidth="1"/>
    <col min="4872" max="4875" width="11.625" style="410" customWidth="1"/>
    <col min="4876" max="4876" width="10.625" style="410" customWidth="1"/>
    <col min="4877" max="5120" width="9" style="410" customWidth="1"/>
    <col min="5121" max="5121" width="4.125" style="410" customWidth="1"/>
    <col min="5122" max="5127" width="6.125" style="410" customWidth="1"/>
    <col min="5128" max="5131" width="11.625" style="410" customWidth="1"/>
    <col min="5132" max="5132" width="10.625" style="410" customWidth="1"/>
    <col min="5133" max="5376" width="9" style="410" customWidth="1"/>
    <col min="5377" max="5377" width="4.125" style="410" customWidth="1"/>
    <col min="5378" max="5383" width="6.125" style="410" customWidth="1"/>
    <col min="5384" max="5387" width="11.625" style="410" customWidth="1"/>
    <col min="5388" max="5388" width="10.625" style="410" customWidth="1"/>
    <col min="5389" max="5632" width="9" style="410" customWidth="1"/>
    <col min="5633" max="5633" width="4.125" style="410" customWidth="1"/>
    <col min="5634" max="5639" width="6.125" style="410" customWidth="1"/>
    <col min="5640" max="5643" width="11.625" style="410" customWidth="1"/>
    <col min="5644" max="5644" width="10.625" style="410" customWidth="1"/>
    <col min="5645" max="5888" width="9" style="410" customWidth="1"/>
    <col min="5889" max="5889" width="4.125" style="410" customWidth="1"/>
    <col min="5890" max="5895" width="6.125" style="410" customWidth="1"/>
    <col min="5896" max="5899" width="11.625" style="410" customWidth="1"/>
    <col min="5900" max="5900" width="10.625" style="410" customWidth="1"/>
    <col min="5901" max="6144" width="9" style="410" customWidth="1"/>
    <col min="6145" max="6145" width="4.125" style="410" customWidth="1"/>
    <col min="6146" max="6151" width="6.125" style="410" customWidth="1"/>
    <col min="6152" max="6155" width="11.625" style="410" customWidth="1"/>
    <col min="6156" max="6156" width="10.625" style="410" customWidth="1"/>
    <col min="6157" max="6400" width="9" style="410" customWidth="1"/>
    <col min="6401" max="6401" width="4.125" style="410" customWidth="1"/>
    <col min="6402" max="6407" width="6.125" style="410" customWidth="1"/>
    <col min="6408" max="6411" width="11.625" style="410" customWidth="1"/>
    <col min="6412" max="6412" width="10.625" style="410" customWidth="1"/>
    <col min="6413" max="6656" width="9" style="410" customWidth="1"/>
    <col min="6657" max="6657" width="4.125" style="410" customWidth="1"/>
    <col min="6658" max="6663" width="6.125" style="410" customWidth="1"/>
    <col min="6664" max="6667" width="11.625" style="410" customWidth="1"/>
    <col min="6668" max="6668" width="10.625" style="410" customWidth="1"/>
    <col min="6669" max="6912" width="9" style="410" customWidth="1"/>
    <col min="6913" max="6913" width="4.125" style="410" customWidth="1"/>
    <col min="6914" max="6919" width="6.125" style="410" customWidth="1"/>
    <col min="6920" max="6923" width="11.625" style="410" customWidth="1"/>
    <col min="6924" max="6924" width="10.625" style="410" customWidth="1"/>
    <col min="6925" max="7168" width="9" style="410" customWidth="1"/>
    <col min="7169" max="7169" width="4.125" style="410" customWidth="1"/>
    <col min="7170" max="7175" width="6.125" style="410" customWidth="1"/>
    <col min="7176" max="7179" width="11.625" style="410" customWidth="1"/>
    <col min="7180" max="7180" width="10.625" style="410" customWidth="1"/>
    <col min="7181" max="7424" width="9" style="410" customWidth="1"/>
    <col min="7425" max="7425" width="4.125" style="410" customWidth="1"/>
    <col min="7426" max="7431" width="6.125" style="410" customWidth="1"/>
    <col min="7432" max="7435" width="11.625" style="410" customWidth="1"/>
    <col min="7436" max="7436" width="10.625" style="410" customWidth="1"/>
    <col min="7437" max="7680" width="9" style="410" customWidth="1"/>
    <col min="7681" max="7681" width="4.125" style="410" customWidth="1"/>
    <col min="7682" max="7687" width="6.125" style="410" customWidth="1"/>
    <col min="7688" max="7691" width="11.625" style="410" customWidth="1"/>
    <col min="7692" max="7692" width="10.625" style="410" customWidth="1"/>
    <col min="7693" max="7936" width="9" style="410" customWidth="1"/>
    <col min="7937" max="7937" width="4.125" style="410" customWidth="1"/>
    <col min="7938" max="7943" width="6.125" style="410" customWidth="1"/>
    <col min="7944" max="7947" width="11.625" style="410" customWidth="1"/>
    <col min="7948" max="7948" width="10.625" style="410" customWidth="1"/>
    <col min="7949" max="8192" width="9" style="410" customWidth="1"/>
    <col min="8193" max="8193" width="4.125" style="410" customWidth="1"/>
    <col min="8194" max="8199" width="6.125" style="410" customWidth="1"/>
    <col min="8200" max="8203" width="11.625" style="410" customWidth="1"/>
    <col min="8204" max="8204" width="10.625" style="410" customWidth="1"/>
    <col min="8205" max="8448" width="9" style="410" customWidth="1"/>
    <col min="8449" max="8449" width="4.125" style="410" customWidth="1"/>
    <col min="8450" max="8455" width="6.125" style="410" customWidth="1"/>
    <col min="8456" max="8459" width="11.625" style="410" customWidth="1"/>
    <col min="8460" max="8460" width="10.625" style="410" customWidth="1"/>
    <col min="8461" max="8704" width="9" style="410" customWidth="1"/>
    <col min="8705" max="8705" width="4.125" style="410" customWidth="1"/>
    <col min="8706" max="8711" width="6.125" style="410" customWidth="1"/>
    <col min="8712" max="8715" width="11.625" style="410" customWidth="1"/>
    <col min="8716" max="8716" width="10.625" style="410" customWidth="1"/>
    <col min="8717" max="8960" width="9" style="410" customWidth="1"/>
    <col min="8961" max="8961" width="4.125" style="410" customWidth="1"/>
    <col min="8962" max="8967" width="6.125" style="410" customWidth="1"/>
    <col min="8968" max="8971" width="11.625" style="410" customWidth="1"/>
    <col min="8972" max="8972" width="10.625" style="410" customWidth="1"/>
    <col min="8973" max="9216" width="9" style="410" customWidth="1"/>
    <col min="9217" max="9217" width="4.125" style="410" customWidth="1"/>
    <col min="9218" max="9223" width="6.125" style="410" customWidth="1"/>
    <col min="9224" max="9227" width="11.625" style="410" customWidth="1"/>
    <col min="9228" max="9228" width="10.625" style="410" customWidth="1"/>
    <col min="9229" max="9472" width="9" style="410" customWidth="1"/>
    <col min="9473" max="9473" width="4.125" style="410" customWidth="1"/>
    <col min="9474" max="9479" width="6.125" style="410" customWidth="1"/>
    <col min="9480" max="9483" width="11.625" style="410" customWidth="1"/>
    <col min="9484" max="9484" width="10.625" style="410" customWidth="1"/>
    <col min="9485" max="9728" width="9" style="410" customWidth="1"/>
    <col min="9729" max="9729" width="4.125" style="410" customWidth="1"/>
    <col min="9730" max="9735" width="6.125" style="410" customWidth="1"/>
    <col min="9736" max="9739" width="11.625" style="410" customWidth="1"/>
    <col min="9740" max="9740" width="10.625" style="410" customWidth="1"/>
    <col min="9741" max="9984" width="9" style="410" customWidth="1"/>
    <col min="9985" max="9985" width="4.125" style="410" customWidth="1"/>
    <col min="9986" max="9991" width="6.125" style="410" customWidth="1"/>
    <col min="9992" max="9995" width="11.625" style="410" customWidth="1"/>
    <col min="9996" max="9996" width="10.625" style="410" customWidth="1"/>
    <col min="9997" max="10240" width="9" style="410" customWidth="1"/>
    <col min="10241" max="10241" width="4.125" style="410" customWidth="1"/>
    <col min="10242" max="10247" width="6.125" style="410" customWidth="1"/>
    <col min="10248" max="10251" width="11.625" style="410" customWidth="1"/>
    <col min="10252" max="10252" width="10.625" style="410" customWidth="1"/>
    <col min="10253" max="10496" width="9" style="410" customWidth="1"/>
    <col min="10497" max="10497" width="4.125" style="410" customWidth="1"/>
    <col min="10498" max="10503" width="6.125" style="410" customWidth="1"/>
    <col min="10504" max="10507" width="11.625" style="410" customWidth="1"/>
    <col min="10508" max="10508" width="10.625" style="410" customWidth="1"/>
    <col min="10509" max="10752" width="9" style="410" customWidth="1"/>
    <col min="10753" max="10753" width="4.125" style="410" customWidth="1"/>
    <col min="10754" max="10759" width="6.125" style="410" customWidth="1"/>
    <col min="10760" max="10763" width="11.625" style="410" customWidth="1"/>
    <col min="10764" max="10764" width="10.625" style="410" customWidth="1"/>
    <col min="10765" max="11008" width="9" style="410" customWidth="1"/>
    <col min="11009" max="11009" width="4.125" style="410" customWidth="1"/>
    <col min="11010" max="11015" width="6.125" style="410" customWidth="1"/>
    <col min="11016" max="11019" width="11.625" style="410" customWidth="1"/>
    <col min="11020" max="11020" width="10.625" style="410" customWidth="1"/>
    <col min="11021" max="11264" width="9" style="410" customWidth="1"/>
    <col min="11265" max="11265" width="4.125" style="410" customWidth="1"/>
    <col min="11266" max="11271" width="6.125" style="410" customWidth="1"/>
    <col min="11272" max="11275" width="11.625" style="410" customWidth="1"/>
    <col min="11276" max="11276" width="10.625" style="410" customWidth="1"/>
    <col min="11277" max="11520" width="9" style="410" customWidth="1"/>
    <col min="11521" max="11521" width="4.125" style="410" customWidth="1"/>
    <col min="11522" max="11527" width="6.125" style="410" customWidth="1"/>
    <col min="11528" max="11531" width="11.625" style="410" customWidth="1"/>
    <col min="11532" max="11532" width="10.625" style="410" customWidth="1"/>
    <col min="11533" max="11776" width="9" style="410" customWidth="1"/>
    <col min="11777" max="11777" width="4.125" style="410" customWidth="1"/>
    <col min="11778" max="11783" width="6.125" style="410" customWidth="1"/>
    <col min="11784" max="11787" width="11.625" style="410" customWidth="1"/>
    <col min="11788" max="11788" width="10.625" style="410" customWidth="1"/>
    <col min="11789" max="12032" width="9" style="410" customWidth="1"/>
    <col min="12033" max="12033" width="4.125" style="410" customWidth="1"/>
    <col min="12034" max="12039" width="6.125" style="410" customWidth="1"/>
    <col min="12040" max="12043" width="11.625" style="410" customWidth="1"/>
    <col min="12044" max="12044" width="10.625" style="410" customWidth="1"/>
    <col min="12045" max="12288" width="9" style="410" customWidth="1"/>
    <col min="12289" max="12289" width="4.125" style="410" customWidth="1"/>
    <col min="12290" max="12295" width="6.125" style="410" customWidth="1"/>
    <col min="12296" max="12299" width="11.625" style="410" customWidth="1"/>
    <col min="12300" max="12300" width="10.625" style="410" customWidth="1"/>
    <col min="12301" max="12544" width="9" style="410" customWidth="1"/>
    <col min="12545" max="12545" width="4.125" style="410" customWidth="1"/>
    <col min="12546" max="12551" width="6.125" style="410" customWidth="1"/>
    <col min="12552" max="12555" width="11.625" style="410" customWidth="1"/>
    <col min="12556" max="12556" width="10.625" style="410" customWidth="1"/>
    <col min="12557" max="12800" width="9" style="410" customWidth="1"/>
    <col min="12801" max="12801" width="4.125" style="410" customWidth="1"/>
    <col min="12802" max="12807" width="6.125" style="410" customWidth="1"/>
    <col min="12808" max="12811" width="11.625" style="410" customWidth="1"/>
    <col min="12812" max="12812" width="10.625" style="410" customWidth="1"/>
    <col min="12813" max="13056" width="9" style="410" customWidth="1"/>
    <col min="13057" max="13057" width="4.125" style="410" customWidth="1"/>
    <col min="13058" max="13063" width="6.125" style="410" customWidth="1"/>
    <col min="13064" max="13067" width="11.625" style="410" customWidth="1"/>
    <col min="13068" max="13068" width="10.625" style="410" customWidth="1"/>
    <col min="13069" max="13312" width="9" style="410" customWidth="1"/>
    <col min="13313" max="13313" width="4.125" style="410" customWidth="1"/>
    <col min="13314" max="13319" width="6.125" style="410" customWidth="1"/>
    <col min="13320" max="13323" width="11.625" style="410" customWidth="1"/>
    <col min="13324" max="13324" width="10.625" style="410" customWidth="1"/>
    <col min="13325" max="13568" width="9" style="410" customWidth="1"/>
    <col min="13569" max="13569" width="4.125" style="410" customWidth="1"/>
    <col min="13570" max="13575" width="6.125" style="410" customWidth="1"/>
    <col min="13576" max="13579" width="11.625" style="410" customWidth="1"/>
    <col min="13580" max="13580" width="10.625" style="410" customWidth="1"/>
    <col min="13581" max="13824" width="9" style="410" customWidth="1"/>
    <col min="13825" max="13825" width="4.125" style="410" customWidth="1"/>
    <col min="13826" max="13831" width="6.125" style="410" customWidth="1"/>
    <col min="13832" max="13835" width="11.625" style="410" customWidth="1"/>
    <col min="13836" max="13836" width="10.625" style="410" customWidth="1"/>
    <col min="13837" max="14080" width="9" style="410" customWidth="1"/>
    <col min="14081" max="14081" width="4.125" style="410" customWidth="1"/>
    <col min="14082" max="14087" width="6.125" style="410" customWidth="1"/>
    <col min="14088" max="14091" width="11.625" style="410" customWidth="1"/>
    <col min="14092" max="14092" width="10.625" style="410" customWidth="1"/>
    <col min="14093" max="14336" width="9" style="410" customWidth="1"/>
    <col min="14337" max="14337" width="4.125" style="410" customWidth="1"/>
    <col min="14338" max="14343" width="6.125" style="410" customWidth="1"/>
    <col min="14344" max="14347" width="11.625" style="410" customWidth="1"/>
    <col min="14348" max="14348" width="10.625" style="410" customWidth="1"/>
    <col min="14349" max="14592" width="9" style="410" customWidth="1"/>
    <col min="14593" max="14593" width="4.125" style="410" customWidth="1"/>
    <col min="14594" max="14599" width="6.125" style="410" customWidth="1"/>
    <col min="14600" max="14603" width="11.625" style="410" customWidth="1"/>
    <col min="14604" max="14604" width="10.625" style="410" customWidth="1"/>
    <col min="14605" max="14848" width="9" style="410" customWidth="1"/>
    <col min="14849" max="14849" width="4.125" style="410" customWidth="1"/>
    <col min="14850" max="14855" width="6.125" style="410" customWidth="1"/>
    <col min="14856" max="14859" width="11.625" style="410" customWidth="1"/>
    <col min="14860" max="14860" width="10.625" style="410" customWidth="1"/>
    <col min="14861" max="15104" width="9" style="410" customWidth="1"/>
    <col min="15105" max="15105" width="4.125" style="410" customWidth="1"/>
    <col min="15106" max="15111" width="6.125" style="410" customWidth="1"/>
    <col min="15112" max="15115" width="11.625" style="410" customWidth="1"/>
    <col min="15116" max="15116" width="10.625" style="410" customWidth="1"/>
    <col min="15117" max="15360" width="9" style="410" customWidth="1"/>
    <col min="15361" max="15361" width="4.125" style="410" customWidth="1"/>
    <col min="15362" max="15367" width="6.125" style="410" customWidth="1"/>
    <col min="15368" max="15371" width="11.625" style="410" customWidth="1"/>
    <col min="15372" max="15372" width="10.625" style="410" customWidth="1"/>
    <col min="15373" max="15616" width="9" style="410" customWidth="1"/>
    <col min="15617" max="15617" width="4.125" style="410" customWidth="1"/>
    <col min="15618" max="15623" width="6.125" style="410" customWidth="1"/>
    <col min="15624" max="15627" width="11.625" style="410" customWidth="1"/>
    <col min="15628" max="15628" width="10.625" style="410" customWidth="1"/>
    <col min="15629" max="15872" width="9" style="410" customWidth="1"/>
    <col min="15873" max="15873" width="4.125" style="410" customWidth="1"/>
    <col min="15874" max="15879" width="6.125" style="410" customWidth="1"/>
    <col min="15880" max="15883" width="11.625" style="410" customWidth="1"/>
    <col min="15884" max="15884" width="10.625" style="410" customWidth="1"/>
    <col min="15885" max="16128" width="9" style="410" customWidth="1"/>
    <col min="16129" max="16129" width="4.125" style="410" customWidth="1"/>
    <col min="16130" max="16135" width="6.125" style="410" customWidth="1"/>
    <col min="16136" max="16139" width="11.625" style="410" customWidth="1"/>
    <col min="16140" max="16140" width="10.625" style="410" customWidth="1"/>
    <col min="16141" max="16384" width="9" style="410" customWidth="1"/>
  </cols>
  <sheetData>
    <row r="1" spans="1:12" ht="20.100000000000001" customHeight="1">
      <c r="J1" s="1380" t="s">
        <v>3496</v>
      </c>
      <c r="K1" s="1268"/>
      <c r="L1" s="411"/>
    </row>
    <row r="2" spans="1:12" ht="20.100000000000001" customHeight="1">
      <c r="B2" s="1381" t="s">
        <v>3497</v>
      </c>
      <c r="C2" s="1381"/>
      <c r="D2" s="1381"/>
      <c r="E2" s="1226"/>
      <c r="F2" s="1226"/>
      <c r="G2" s="1226"/>
      <c r="H2" s="1226"/>
      <c r="I2" s="1226"/>
      <c r="J2" s="1226"/>
      <c r="K2" s="1226"/>
      <c r="L2" s="454"/>
    </row>
    <row r="3" spans="1:12" ht="20.100000000000001" customHeight="1">
      <c r="A3" s="1382" t="s">
        <v>3498</v>
      </c>
      <c r="B3" s="1378" t="s">
        <v>3499</v>
      </c>
      <c r="C3" s="1378"/>
      <c r="D3" s="1378"/>
      <c r="E3" s="1378"/>
      <c r="F3" s="1378"/>
      <c r="G3" s="1378"/>
      <c r="H3" s="1378"/>
      <c r="I3" s="1378"/>
      <c r="J3" s="1378"/>
      <c r="K3" s="1378"/>
    </row>
    <row r="4" spans="1:12" ht="20.100000000000001" customHeight="1">
      <c r="A4" s="1382"/>
      <c r="B4" s="1378"/>
      <c r="C4" s="1378"/>
      <c r="D4" s="1378"/>
      <c r="E4" s="1378"/>
      <c r="F4" s="1378"/>
      <c r="G4" s="1378"/>
      <c r="H4" s="1378"/>
      <c r="I4" s="1378"/>
      <c r="J4" s="1378"/>
      <c r="K4" s="1378"/>
    </row>
    <row r="5" spans="1:12" ht="20.100000000000001" customHeight="1"/>
    <row r="6" spans="1:12" ht="20.100000000000001" customHeight="1">
      <c r="B6" s="451" t="s">
        <v>3500</v>
      </c>
      <c r="C6" s="451"/>
      <c r="D6" s="1383"/>
      <c r="E6" s="1383"/>
      <c r="F6" s="1383"/>
      <c r="G6" s="1383"/>
      <c r="I6" s="451" t="s">
        <v>3501</v>
      </c>
      <c r="J6" s="1383"/>
      <c r="K6" s="1383"/>
    </row>
    <row r="7" spans="1:12" ht="20.100000000000001" customHeight="1"/>
    <row r="8" spans="1:12" ht="20.100000000000001" customHeight="1">
      <c r="A8" s="1368" t="s">
        <v>3502</v>
      </c>
      <c r="B8" s="1369"/>
      <c r="C8" s="1369"/>
      <c r="D8" s="1369"/>
      <c r="E8" s="1369"/>
      <c r="F8" s="1369"/>
      <c r="G8" s="1369"/>
      <c r="H8" s="1369"/>
      <c r="I8" s="1369"/>
      <c r="J8" s="1369"/>
      <c r="K8" s="1370"/>
    </row>
    <row r="9" spans="1:12" ht="20.100000000000001" customHeight="1">
      <c r="A9" s="1376" t="s">
        <v>3498</v>
      </c>
      <c r="B9" s="1378" t="s">
        <v>3503</v>
      </c>
      <c r="C9" s="1378"/>
      <c r="D9" s="1378"/>
      <c r="E9" s="1378"/>
      <c r="F9" s="1378"/>
      <c r="G9" s="1378"/>
      <c r="H9" s="1378"/>
      <c r="I9" s="1378"/>
      <c r="J9" s="1378"/>
      <c r="K9" s="1379"/>
    </row>
    <row r="10" spans="1:12" ht="20.100000000000001" customHeight="1">
      <c r="A10" s="1377"/>
      <c r="B10" s="1378"/>
      <c r="C10" s="1378"/>
      <c r="D10" s="1378"/>
      <c r="E10" s="1378"/>
      <c r="F10" s="1378"/>
      <c r="G10" s="1378"/>
      <c r="H10" s="1378"/>
      <c r="I10" s="1378"/>
      <c r="J10" s="1378"/>
      <c r="K10" s="1379"/>
    </row>
    <row r="11" spans="1:12" ht="20.100000000000001" customHeight="1">
      <c r="A11" s="1368" t="s">
        <v>3504</v>
      </c>
      <c r="B11" s="1369"/>
      <c r="C11" s="1369"/>
      <c r="D11" s="1369"/>
      <c r="E11" s="1369"/>
      <c r="F11" s="1369"/>
      <c r="G11" s="1369"/>
      <c r="H11" s="1369"/>
      <c r="I11" s="1369"/>
      <c r="J11" s="1369"/>
      <c r="K11" s="1370"/>
    </row>
    <row r="12" spans="1:12" ht="20.100000000000001" customHeight="1">
      <c r="A12" s="1376" t="s">
        <v>3498</v>
      </c>
      <c r="B12" s="1378" t="s">
        <v>3505</v>
      </c>
      <c r="C12" s="1378"/>
      <c r="D12" s="1378"/>
      <c r="E12" s="1378"/>
      <c r="F12" s="1378"/>
      <c r="G12" s="1378"/>
      <c r="H12" s="1378"/>
      <c r="I12" s="1378"/>
      <c r="J12" s="1378"/>
      <c r="K12" s="1379"/>
    </row>
    <row r="13" spans="1:12" ht="20.100000000000001" customHeight="1">
      <c r="A13" s="1377"/>
      <c r="B13" s="1378"/>
      <c r="C13" s="1378"/>
      <c r="D13" s="1378"/>
      <c r="E13" s="1378"/>
      <c r="F13" s="1378"/>
      <c r="G13" s="1378"/>
      <c r="H13" s="1378"/>
      <c r="I13" s="1378"/>
      <c r="J13" s="1378"/>
      <c r="K13" s="1379"/>
    </row>
    <row r="14" spans="1:12" ht="20.100000000000001" customHeight="1">
      <c r="A14" s="1368" t="s">
        <v>3506</v>
      </c>
      <c r="B14" s="1369"/>
      <c r="C14" s="1369"/>
      <c r="D14" s="1369"/>
      <c r="E14" s="1369"/>
      <c r="F14" s="1369"/>
      <c r="G14" s="1369"/>
      <c r="H14" s="1369"/>
      <c r="I14" s="1369"/>
      <c r="J14" s="1369"/>
      <c r="K14" s="1370"/>
    </row>
    <row r="15" spans="1:12" ht="20.100000000000001" customHeight="1">
      <c r="A15" s="1376" t="s">
        <v>3498</v>
      </c>
      <c r="B15" s="1378" t="s">
        <v>3507</v>
      </c>
      <c r="C15" s="1378"/>
      <c r="D15" s="1378"/>
      <c r="E15" s="1378"/>
      <c r="F15" s="1378"/>
      <c r="G15" s="1378"/>
      <c r="H15" s="1378"/>
      <c r="I15" s="1378"/>
      <c r="J15" s="1378"/>
      <c r="K15" s="1379"/>
    </row>
    <row r="16" spans="1:12" ht="20.100000000000001" customHeight="1">
      <c r="A16" s="1377"/>
      <c r="B16" s="1378"/>
      <c r="C16" s="1378"/>
      <c r="D16" s="1378"/>
      <c r="E16" s="1378"/>
      <c r="F16" s="1378"/>
      <c r="G16" s="1378"/>
      <c r="H16" s="1378"/>
      <c r="I16" s="1378"/>
      <c r="J16" s="1378"/>
      <c r="K16" s="1379"/>
    </row>
    <row r="17" spans="1:11" ht="20.100000000000001" customHeight="1">
      <c r="A17" s="1368" t="s">
        <v>3508</v>
      </c>
      <c r="B17" s="1369"/>
      <c r="C17" s="1369"/>
      <c r="D17" s="1369"/>
      <c r="E17" s="1369"/>
      <c r="F17" s="1369"/>
      <c r="G17" s="1369"/>
      <c r="H17" s="1369"/>
      <c r="I17" s="1369"/>
      <c r="J17" s="1369"/>
      <c r="K17" s="1370"/>
    </row>
    <row r="18" spans="1:11" ht="20.100000000000001" customHeight="1">
      <c r="A18" s="1376" t="s">
        <v>3498</v>
      </c>
      <c r="B18" s="1378" t="s">
        <v>3509</v>
      </c>
      <c r="C18" s="1378"/>
      <c r="D18" s="1378"/>
      <c r="E18" s="1378"/>
      <c r="F18" s="1378"/>
      <c r="G18" s="1378"/>
      <c r="H18" s="1378"/>
      <c r="I18" s="1378"/>
      <c r="J18" s="1378"/>
      <c r="K18" s="1379"/>
    </row>
    <row r="19" spans="1:11" ht="20.100000000000001" customHeight="1">
      <c r="A19" s="1377"/>
      <c r="B19" s="1378"/>
      <c r="C19" s="1378"/>
      <c r="D19" s="1378"/>
      <c r="E19" s="1378"/>
      <c r="F19" s="1378"/>
      <c r="G19" s="1378"/>
      <c r="H19" s="1378"/>
      <c r="I19" s="1378"/>
      <c r="J19" s="1378"/>
      <c r="K19" s="1379"/>
    </row>
    <row r="20" spans="1:11" ht="20.100000000000001" customHeight="1">
      <c r="A20" s="1368" t="s">
        <v>3510</v>
      </c>
      <c r="B20" s="1369"/>
      <c r="C20" s="1369"/>
      <c r="D20" s="1369"/>
      <c r="E20" s="1369"/>
      <c r="F20" s="1369"/>
      <c r="G20" s="1369"/>
      <c r="H20" s="1369"/>
      <c r="I20" s="1369"/>
      <c r="J20" s="1369"/>
      <c r="K20" s="1370"/>
    </row>
    <row r="21" spans="1:11" ht="20.100000000000001" customHeight="1">
      <c r="A21" s="1371" t="s">
        <v>3511</v>
      </c>
      <c r="B21" s="1372"/>
      <c r="C21" s="1371" t="s">
        <v>3512</v>
      </c>
      <c r="D21" s="1372"/>
      <c r="E21" s="1228" t="s">
        <v>3513</v>
      </c>
      <c r="F21" s="1229"/>
      <c r="G21" s="1229"/>
      <c r="H21" s="1229"/>
      <c r="I21" s="1229"/>
      <c r="J21" s="1229"/>
      <c r="K21" s="1230"/>
    </row>
    <row r="22" spans="1:11" ht="20.100000000000001" customHeight="1">
      <c r="A22" s="1373"/>
      <c r="B22" s="1374"/>
      <c r="C22" s="1373"/>
      <c r="D22" s="1374"/>
      <c r="E22" s="1373"/>
      <c r="F22" s="1375"/>
      <c r="G22" s="1375"/>
      <c r="H22" s="1375"/>
      <c r="I22" s="1375"/>
      <c r="J22" s="1375"/>
      <c r="K22" s="1374"/>
    </row>
    <row r="23" spans="1:11" ht="20.100000000000001" customHeight="1">
      <c r="A23" s="1365"/>
      <c r="B23" s="1366"/>
      <c r="C23" s="1365"/>
      <c r="D23" s="1366"/>
      <c r="E23" s="1365"/>
      <c r="F23" s="1367"/>
      <c r="G23" s="1367"/>
      <c r="H23" s="1367"/>
      <c r="I23" s="1367"/>
      <c r="J23" s="1367"/>
      <c r="K23" s="1366"/>
    </row>
    <row r="24" spans="1:11" ht="20.100000000000001" customHeight="1">
      <c r="A24" s="1365"/>
      <c r="B24" s="1366"/>
      <c r="C24" s="1365"/>
      <c r="D24" s="1366"/>
      <c r="E24" s="1365"/>
      <c r="F24" s="1367"/>
      <c r="G24" s="1367"/>
      <c r="H24" s="1367"/>
      <c r="I24" s="1367"/>
      <c r="J24" s="1367"/>
      <c r="K24" s="1366"/>
    </row>
    <row r="25" spans="1:11" ht="20.100000000000001" customHeight="1">
      <c r="A25" s="1365"/>
      <c r="B25" s="1366"/>
      <c r="C25" s="1365"/>
      <c r="D25" s="1366"/>
      <c r="E25" s="1365"/>
      <c r="F25" s="1367"/>
      <c r="G25" s="1367"/>
      <c r="H25" s="1367"/>
      <c r="I25" s="1367"/>
      <c r="J25" s="1367"/>
      <c r="K25" s="1366"/>
    </row>
    <row r="26" spans="1:11" ht="20.100000000000001" customHeight="1">
      <c r="A26" s="1365"/>
      <c r="B26" s="1366"/>
      <c r="C26" s="1365"/>
      <c r="D26" s="1366"/>
      <c r="E26" s="1365"/>
      <c r="F26" s="1367"/>
      <c r="G26" s="1367"/>
      <c r="H26" s="1367"/>
      <c r="I26" s="1367"/>
      <c r="J26" s="1367"/>
      <c r="K26" s="1366"/>
    </row>
    <row r="27" spans="1:11" ht="20.100000000000001" customHeight="1">
      <c r="A27" s="1365"/>
      <c r="B27" s="1366"/>
      <c r="C27" s="1365"/>
      <c r="D27" s="1366"/>
      <c r="E27" s="1365"/>
      <c r="F27" s="1367"/>
      <c r="G27" s="1367"/>
      <c r="H27" s="1367"/>
      <c r="I27" s="1367"/>
      <c r="J27" s="1367"/>
      <c r="K27" s="1366"/>
    </row>
    <row r="28" spans="1:11" ht="20.100000000000001" customHeight="1">
      <c r="A28" s="1365"/>
      <c r="B28" s="1366"/>
      <c r="C28" s="1365"/>
      <c r="D28" s="1366"/>
      <c r="E28" s="1365"/>
      <c r="F28" s="1367"/>
      <c r="G28" s="1367"/>
      <c r="H28" s="1367"/>
      <c r="I28" s="1367"/>
      <c r="J28" s="1367"/>
      <c r="K28" s="1366"/>
    </row>
    <row r="29" spans="1:11" ht="20.100000000000001" customHeight="1">
      <c r="A29" s="1365"/>
      <c r="B29" s="1366"/>
      <c r="C29" s="1365"/>
      <c r="D29" s="1366"/>
      <c r="E29" s="1365"/>
      <c r="F29" s="1367"/>
      <c r="G29" s="1367"/>
      <c r="H29" s="1367"/>
      <c r="I29" s="1367"/>
      <c r="J29" s="1367"/>
      <c r="K29" s="1366"/>
    </row>
    <row r="30" spans="1:11" ht="20.100000000000001" customHeight="1">
      <c r="A30" s="1365"/>
      <c r="B30" s="1366"/>
      <c r="C30" s="1365"/>
      <c r="D30" s="1366"/>
      <c r="E30" s="1365"/>
      <c r="F30" s="1367"/>
      <c r="G30" s="1367"/>
      <c r="H30" s="1367"/>
      <c r="I30" s="1367"/>
      <c r="J30" s="1367"/>
      <c r="K30" s="1366"/>
    </row>
    <row r="31" spans="1:11" ht="20.100000000000001" customHeight="1">
      <c r="A31" s="1365"/>
      <c r="B31" s="1366"/>
      <c r="C31" s="1365"/>
      <c r="D31" s="1366"/>
      <c r="E31" s="1365"/>
      <c r="F31" s="1367"/>
      <c r="G31" s="1367"/>
      <c r="H31" s="1367"/>
      <c r="I31" s="1367"/>
      <c r="J31" s="1367"/>
      <c r="K31" s="1366"/>
    </row>
    <row r="32" spans="1:11" ht="20.100000000000001" customHeight="1">
      <c r="A32" s="1365"/>
      <c r="B32" s="1366"/>
      <c r="C32" s="1365"/>
      <c r="D32" s="1366"/>
      <c r="E32" s="1365"/>
      <c r="F32" s="1367"/>
      <c r="G32" s="1367"/>
      <c r="H32" s="1367"/>
      <c r="I32" s="1367"/>
      <c r="J32" s="1367"/>
      <c r="K32" s="1366"/>
    </row>
    <row r="33" spans="1:11" ht="20.100000000000001" customHeight="1">
      <c r="A33" s="1365"/>
      <c r="B33" s="1366"/>
      <c r="C33" s="1365"/>
      <c r="D33" s="1366"/>
      <c r="E33" s="1365"/>
      <c r="F33" s="1367"/>
      <c r="G33" s="1367"/>
      <c r="H33" s="1367"/>
      <c r="I33" s="1367"/>
      <c r="J33" s="1367"/>
      <c r="K33" s="1366"/>
    </row>
    <row r="34" spans="1:11" ht="20.100000000000001" customHeight="1">
      <c r="A34" s="1365"/>
      <c r="B34" s="1366"/>
      <c r="C34" s="1365"/>
      <c r="D34" s="1366"/>
      <c r="E34" s="1365"/>
      <c r="F34" s="1367"/>
      <c r="G34" s="1367"/>
      <c r="H34" s="1367"/>
      <c r="I34" s="1367"/>
      <c r="J34" s="1367"/>
      <c r="K34" s="1366"/>
    </row>
    <row r="35" spans="1:11" ht="20.100000000000001" customHeight="1">
      <c r="A35" s="1365"/>
      <c r="B35" s="1366"/>
      <c r="C35" s="1365"/>
      <c r="D35" s="1366"/>
      <c r="E35" s="1365"/>
      <c r="F35" s="1367"/>
      <c r="G35" s="1367"/>
      <c r="H35" s="1367"/>
      <c r="I35" s="1367"/>
      <c r="J35" s="1367"/>
      <c r="K35" s="1366"/>
    </row>
    <row r="36" spans="1:11" ht="20.100000000000001" customHeight="1">
      <c r="A36" s="1365"/>
      <c r="B36" s="1366"/>
      <c r="C36" s="1365"/>
      <c r="D36" s="1366"/>
      <c r="E36" s="1365"/>
      <c r="F36" s="1367"/>
      <c r="G36" s="1367"/>
      <c r="H36" s="1367"/>
      <c r="I36" s="1367"/>
      <c r="J36" s="1367"/>
      <c r="K36" s="1366"/>
    </row>
    <row r="37" spans="1:11" ht="20.100000000000001" customHeight="1">
      <c r="A37" s="1365"/>
      <c r="B37" s="1366"/>
      <c r="C37" s="1365"/>
      <c r="D37" s="1366"/>
      <c r="E37" s="1365"/>
      <c r="F37" s="1367"/>
      <c r="G37" s="1367"/>
      <c r="H37" s="1367"/>
      <c r="I37" s="1367"/>
      <c r="J37" s="1367"/>
      <c r="K37" s="1366"/>
    </row>
    <row r="38" spans="1:11" ht="20.100000000000001" customHeight="1">
      <c r="A38" s="1365"/>
      <c r="B38" s="1366"/>
      <c r="C38" s="1365"/>
      <c r="D38" s="1366"/>
      <c r="E38" s="1365"/>
      <c r="F38" s="1367"/>
      <c r="G38" s="1367"/>
      <c r="H38" s="1367"/>
      <c r="I38" s="1367"/>
      <c r="J38" s="1367"/>
      <c r="K38" s="1366"/>
    </row>
    <row r="39" spans="1:11" ht="20.100000000000001" customHeight="1">
      <c r="A39" s="1365"/>
      <c r="B39" s="1366"/>
      <c r="C39" s="1365"/>
      <c r="D39" s="1366"/>
      <c r="E39" s="1365"/>
      <c r="F39" s="1367"/>
      <c r="G39" s="1367"/>
      <c r="H39" s="1367"/>
      <c r="I39" s="1367"/>
      <c r="J39" s="1367"/>
      <c r="K39" s="1366"/>
    </row>
    <row r="40" spans="1:11" ht="20.100000000000001" customHeight="1">
      <c r="A40" s="1365"/>
      <c r="B40" s="1366"/>
      <c r="C40" s="1365"/>
      <c r="D40" s="1366"/>
      <c r="E40" s="1365"/>
      <c r="F40" s="1367"/>
      <c r="G40" s="1367"/>
      <c r="H40" s="1367"/>
      <c r="I40" s="1367"/>
      <c r="J40" s="1367"/>
      <c r="K40" s="1366"/>
    </row>
    <row r="41" spans="1:11" ht="20.100000000000001" customHeight="1">
      <c r="A41" s="1365"/>
      <c r="B41" s="1366"/>
      <c r="C41" s="1365"/>
      <c r="D41" s="1366"/>
      <c r="E41" s="1365"/>
      <c r="F41" s="1367"/>
      <c r="G41" s="1367"/>
      <c r="H41" s="1367"/>
      <c r="I41" s="1367"/>
      <c r="J41" s="1367"/>
      <c r="K41" s="1366"/>
    </row>
    <row r="42" spans="1:11" ht="20.100000000000001" customHeight="1">
      <c r="A42" s="1365"/>
      <c r="B42" s="1366"/>
      <c r="C42" s="1365"/>
      <c r="D42" s="1366"/>
      <c r="E42" s="1365"/>
      <c r="F42" s="1367"/>
      <c r="G42" s="1367"/>
      <c r="H42" s="1367"/>
      <c r="I42" s="1367"/>
      <c r="J42" s="1367"/>
      <c r="K42" s="1366"/>
    </row>
    <row r="43" spans="1:11" ht="20.100000000000001" customHeight="1">
      <c r="A43" s="1362"/>
      <c r="B43" s="1363"/>
      <c r="C43" s="1362"/>
      <c r="D43" s="1363"/>
      <c r="E43" s="1362"/>
      <c r="F43" s="1364"/>
      <c r="G43" s="1364"/>
      <c r="H43" s="1364"/>
      <c r="I43" s="1364"/>
      <c r="J43" s="1364"/>
      <c r="K43" s="1363"/>
    </row>
    <row r="44" spans="1:11" ht="20.100000000000001" customHeight="1"/>
    <row r="45" spans="1:11" ht="20.100000000000001" customHeight="1"/>
    <row r="46" spans="1:11" ht="20.100000000000001" customHeight="1"/>
    <row r="47" spans="1:11" ht="20.100000000000001" customHeight="1"/>
    <row r="48" spans="1: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88">
    <mergeCell ref="J1:K1"/>
    <mergeCell ref="B2:K2"/>
    <mergeCell ref="A3:A4"/>
    <mergeCell ref="B3:K4"/>
    <mergeCell ref="D6:G6"/>
    <mergeCell ref="J6:K6"/>
    <mergeCell ref="A8:K8"/>
    <mergeCell ref="A9:A10"/>
    <mergeCell ref="B9:K10"/>
    <mergeCell ref="A11:K11"/>
    <mergeCell ref="A12:A13"/>
    <mergeCell ref="B12:K13"/>
    <mergeCell ref="A14:K14"/>
    <mergeCell ref="A15:A16"/>
    <mergeCell ref="B15:K16"/>
    <mergeCell ref="A17:K17"/>
    <mergeCell ref="A18:A19"/>
    <mergeCell ref="B18:K19"/>
    <mergeCell ref="A20:K20"/>
    <mergeCell ref="A21:B21"/>
    <mergeCell ref="C21:D21"/>
    <mergeCell ref="E21:K21"/>
    <mergeCell ref="A22:B22"/>
    <mergeCell ref="C22:D22"/>
    <mergeCell ref="E22:K22"/>
    <mergeCell ref="A23:B23"/>
    <mergeCell ref="C23:D23"/>
    <mergeCell ref="E23:K23"/>
    <mergeCell ref="A24:B24"/>
    <mergeCell ref="C24:D24"/>
    <mergeCell ref="E24:K24"/>
    <mergeCell ref="A25:B25"/>
    <mergeCell ref="C25:D25"/>
    <mergeCell ref="E25:K25"/>
    <mergeCell ref="A26:B26"/>
    <mergeCell ref="C26:D26"/>
    <mergeCell ref="E26:K26"/>
    <mergeCell ref="A27:B27"/>
    <mergeCell ref="C27:D27"/>
    <mergeCell ref="E27:K27"/>
    <mergeCell ref="A28:B28"/>
    <mergeCell ref="C28:D28"/>
    <mergeCell ref="E28:K28"/>
    <mergeCell ref="A29:B29"/>
    <mergeCell ref="C29:D29"/>
    <mergeCell ref="E29:K29"/>
    <mergeCell ref="A30:B30"/>
    <mergeCell ref="C30:D30"/>
    <mergeCell ref="E30:K30"/>
    <mergeCell ref="A31:B31"/>
    <mergeCell ref="C31:D31"/>
    <mergeCell ref="E31:K31"/>
    <mergeCell ref="A32:B32"/>
    <mergeCell ref="C32:D32"/>
    <mergeCell ref="E32:K32"/>
    <mergeCell ref="A33:B33"/>
    <mergeCell ref="C33:D33"/>
    <mergeCell ref="E33:K33"/>
    <mergeCell ref="A34:B34"/>
    <mergeCell ref="C34:D34"/>
    <mergeCell ref="E34:K34"/>
    <mergeCell ref="A35:B35"/>
    <mergeCell ref="C35:D35"/>
    <mergeCell ref="E35:K35"/>
    <mergeCell ref="A36:B36"/>
    <mergeCell ref="C36:D36"/>
    <mergeCell ref="E36:K36"/>
    <mergeCell ref="A37:B37"/>
    <mergeCell ref="C37:D37"/>
    <mergeCell ref="E37:K37"/>
    <mergeCell ref="A38:B38"/>
    <mergeCell ref="C38:D38"/>
    <mergeCell ref="E38:K38"/>
    <mergeCell ref="A39:B39"/>
    <mergeCell ref="C39:D39"/>
    <mergeCell ref="E39:K39"/>
    <mergeCell ref="A40:B40"/>
    <mergeCell ref="C40:D40"/>
    <mergeCell ref="E40:K40"/>
    <mergeCell ref="A43:B43"/>
    <mergeCell ref="C43:D43"/>
    <mergeCell ref="E43:K43"/>
    <mergeCell ref="A41:B41"/>
    <mergeCell ref="C41:D41"/>
    <mergeCell ref="E41:K41"/>
    <mergeCell ref="A42:B42"/>
    <mergeCell ref="C42:D42"/>
    <mergeCell ref="E42:K42"/>
  </mergeCells>
  <phoneticPr fontId="116"/>
  <pageMargins left="0.70866141732283472" right="0.70866141732283472" top="0.39370078740157483" bottom="0.39370078740157483" header="0.31496062992125984" footer="0.31496062992125984"/>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53"/>
  <sheetViews>
    <sheetView view="pageBreakPreview" zoomScaleNormal="100" zoomScaleSheetLayoutView="100" workbookViewId="0"/>
  </sheetViews>
  <sheetFormatPr defaultColWidth="9.125" defaultRowHeight="17.25"/>
  <cols>
    <col min="1" max="1" width="4.125" style="455" customWidth="1"/>
    <col min="2" max="8" width="11.625" style="455" customWidth="1"/>
    <col min="9" max="256" width="9" style="455" customWidth="1"/>
    <col min="257" max="257" width="4.125" style="455" customWidth="1"/>
    <col min="258" max="264" width="11.625" style="455" customWidth="1"/>
    <col min="265" max="512" width="9" style="455" customWidth="1"/>
    <col min="513" max="513" width="4.125" style="455" customWidth="1"/>
    <col min="514" max="520" width="11.625" style="455" customWidth="1"/>
    <col min="521" max="768" width="9" style="455" customWidth="1"/>
    <col min="769" max="769" width="4.125" style="455" customWidth="1"/>
    <col min="770" max="776" width="11.625" style="455" customWidth="1"/>
    <col min="777" max="1024" width="9" style="455" customWidth="1"/>
    <col min="1025" max="1025" width="4.125" style="455" customWidth="1"/>
    <col min="1026" max="1032" width="11.625" style="455" customWidth="1"/>
    <col min="1033" max="1280" width="9" style="455" customWidth="1"/>
    <col min="1281" max="1281" width="4.125" style="455" customWidth="1"/>
    <col min="1282" max="1288" width="11.625" style="455" customWidth="1"/>
    <col min="1289" max="1536" width="9" style="455" customWidth="1"/>
    <col min="1537" max="1537" width="4.125" style="455" customWidth="1"/>
    <col min="1538" max="1544" width="11.625" style="455" customWidth="1"/>
    <col min="1545" max="1792" width="9" style="455" customWidth="1"/>
    <col min="1793" max="1793" width="4.125" style="455" customWidth="1"/>
    <col min="1794" max="1800" width="11.625" style="455" customWidth="1"/>
    <col min="1801" max="2048" width="9" style="455" customWidth="1"/>
    <col min="2049" max="2049" width="4.125" style="455" customWidth="1"/>
    <col min="2050" max="2056" width="11.625" style="455" customWidth="1"/>
    <col min="2057" max="2304" width="9" style="455" customWidth="1"/>
    <col min="2305" max="2305" width="4.125" style="455" customWidth="1"/>
    <col min="2306" max="2312" width="11.625" style="455" customWidth="1"/>
    <col min="2313" max="2560" width="9" style="455" customWidth="1"/>
    <col min="2561" max="2561" width="4.125" style="455" customWidth="1"/>
    <col min="2562" max="2568" width="11.625" style="455" customWidth="1"/>
    <col min="2569" max="2816" width="9" style="455" customWidth="1"/>
    <col min="2817" max="2817" width="4.125" style="455" customWidth="1"/>
    <col min="2818" max="2824" width="11.625" style="455" customWidth="1"/>
    <col min="2825" max="3072" width="9" style="455" customWidth="1"/>
    <col min="3073" max="3073" width="4.125" style="455" customWidth="1"/>
    <col min="3074" max="3080" width="11.625" style="455" customWidth="1"/>
    <col min="3081" max="3328" width="9" style="455" customWidth="1"/>
    <col min="3329" max="3329" width="4.125" style="455" customWidth="1"/>
    <col min="3330" max="3336" width="11.625" style="455" customWidth="1"/>
    <col min="3337" max="3584" width="9" style="455" customWidth="1"/>
    <col min="3585" max="3585" width="4.125" style="455" customWidth="1"/>
    <col min="3586" max="3592" width="11.625" style="455" customWidth="1"/>
    <col min="3593" max="3840" width="9" style="455" customWidth="1"/>
    <col min="3841" max="3841" width="4.125" style="455" customWidth="1"/>
    <col min="3842" max="3848" width="11.625" style="455" customWidth="1"/>
    <col min="3849" max="4096" width="9" style="455" customWidth="1"/>
    <col min="4097" max="4097" width="4.125" style="455" customWidth="1"/>
    <col min="4098" max="4104" width="11.625" style="455" customWidth="1"/>
    <col min="4105" max="4352" width="9" style="455" customWidth="1"/>
    <col min="4353" max="4353" width="4.125" style="455" customWidth="1"/>
    <col min="4354" max="4360" width="11.625" style="455" customWidth="1"/>
    <col min="4361" max="4608" width="9" style="455" customWidth="1"/>
    <col min="4609" max="4609" width="4.125" style="455" customWidth="1"/>
    <col min="4610" max="4616" width="11.625" style="455" customWidth="1"/>
    <col min="4617" max="4864" width="9" style="455" customWidth="1"/>
    <col min="4865" max="4865" width="4.125" style="455" customWidth="1"/>
    <col min="4866" max="4872" width="11.625" style="455" customWidth="1"/>
    <col min="4873" max="5120" width="9" style="455" customWidth="1"/>
    <col min="5121" max="5121" width="4.125" style="455" customWidth="1"/>
    <col min="5122" max="5128" width="11.625" style="455" customWidth="1"/>
    <col min="5129" max="5376" width="9" style="455" customWidth="1"/>
    <col min="5377" max="5377" width="4.125" style="455" customWidth="1"/>
    <col min="5378" max="5384" width="11.625" style="455" customWidth="1"/>
    <col min="5385" max="5632" width="9" style="455" customWidth="1"/>
    <col min="5633" max="5633" width="4.125" style="455" customWidth="1"/>
    <col min="5634" max="5640" width="11.625" style="455" customWidth="1"/>
    <col min="5641" max="5888" width="9" style="455" customWidth="1"/>
    <col min="5889" max="5889" width="4.125" style="455" customWidth="1"/>
    <col min="5890" max="5896" width="11.625" style="455" customWidth="1"/>
    <col min="5897" max="6144" width="9" style="455" customWidth="1"/>
    <col min="6145" max="6145" width="4.125" style="455" customWidth="1"/>
    <col min="6146" max="6152" width="11.625" style="455" customWidth="1"/>
    <col min="6153" max="6400" width="9" style="455" customWidth="1"/>
    <col min="6401" max="6401" width="4.125" style="455" customWidth="1"/>
    <col min="6402" max="6408" width="11.625" style="455" customWidth="1"/>
    <col min="6409" max="6656" width="9" style="455" customWidth="1"/>
    <col min="6657" max="6657" width="4.125" style="455" customWidth="1"/>
    <col min="6658" max="6664" width="11.625" style="455" customWidth="1"/>
    <col min="6665" max="6912" width="9" style="455" customWidth="1"/>
    <col min="6913" max="6913" width="4.125" style="455" customWidth="1"/>
    <col min="6914" max="6920" width="11.625" style="455" customWidth="1"/>
    <col min="6921" max="7168" width="9" style="455" customWidth="1"/>
    <col min="7169" max="7169" width="4.125" style="455" customWidth="1"/>
    <col min="7170" max="7176" width="11.625" style="455" customWidth="1"/>
    <col min="7177" max="7424" width="9" style="455" customWidth="1"/>
    <col min="7425" max="7425" width="4.125" style="455" customWidth="1"/>
    <col min="7426" max="7432" width="11.625" style="455" customWidth="1"/>
    <col min="7433" max="7680" width="9" style="455" customWidth="1"/>
    <col min="7681" max="7681" width="4.125" style="455" customWidth="1"/>
    <col min="7682" max="7688" width="11.625" style="455" customWidth="1"/>
    <col min="7689" max="7936" width="9" style="455" customWidth="1"/>
    <col min="7937" max="7937" width="4.125" style="455" customWidth="1"/>
    <col min="7938" max="7944" width="11.625" style="455" customWidth="1"/>
    <col min="7945" max="8192" width="9" style="455" customWidth="1"/>
    <col min="8193" max="8193" width="4.125" style="455" customWidth="1"/>
    <col min="8194" max="8200" width="11.625" style="455" customWidth="1"/>
    <col min="8201" max="8448" width="9" style="455" customWidth="1"/>
    <col min="8449" max="8449" width="4.125" style="455" customWidth="1"/>
    <col min="8450" max="8456" width="11.625" style="455" customWidth="1"/>
    <col min="8457" max="8704" width="9" style="455" customWidth="1"/>
    <col min="8705" max="8705" width="4.125" style="455" customWidth="1"/>
    <col min="8706" max="8712" width="11.625" style="455" customWidth="1"/>
    <col min="8713" max="8960" width="9" style="455" customWidth="1"/>
    <col min="8961" max="8961" width="4.125" style="455" customWidth="1"/>
    <col min="8962" max="8968" width="11.625" style="455" customWidth="1"/>
    <col min="8969" max="9216" width="9" style="455" customWidth="1"/>
    <col min="9217" max="9217" width="4.125" style="455" customWidth="1"/>
    <col min="9218" max="9224" width="11.625" style="455" customWidth="1"/>
    <col min="9225" max="9472" width="9" style="455" customWidth="1"/>
    <col min="9473" max="9473" width="4.125" style="455" customWidth="1"/>
    <col min="9474" max="9480" width="11.625" style="455" customWidth="1"/>
    <col min="9481" max="9728" width="9" style="455" customWidth="1"/>
    <col min="9729" max="9729" width="4.125" style="455" customWidth="1"/>
    <col min="9730" max="9736" width="11.625" style="455" customWidth="1"/>
    <col min="9737" max="9984" width="9" style="455" customWidth="1"/>
    <col min="9985" max="9985" width="4.125" style="455" customWidth="1"/>
    <col min="9986" max="9992" width="11.625" style="455" customWidth="1"/>
    <col min="9993" max="10240" width="9" style="455" customWidth="1"/>
    <col min="10241" max="10241" width="4.125" style="455" customWidth="1"/>
    <col min="10242" max="10248" width="11.625" style="455" customWidth="1"/>
    <col min="10249" max="10496" width="9" style="455" customWidth="1"/>
    <col min="10497" max="10497" width="4.125" style="455" customWidth="1"/>
    <col min="10498" max="10504" width="11.625" style="455" customWidth="1"/>
    <col min="10505" max="10752" width="9" style="455" customWidth="1"/>
    <col min="10753" max="10753" width="4.125" style="455" customWidth="1"/>
    <col min="10754" max="10760" width="11.625" style="455" customWidth="1"/>
    <col min="10761" max="11008" width="9" style="455" customWidth="1"/>
    <col min="11009" max="11009" width="4.125" style="455" customWidth="1"/>
    <col min="11010" max="11016" width="11.625" style="455" customWidth="1"/>
    <col min="11017" max="11264" width="9" style="455" customWidth="1"/>
    <col min="11265" max="11265" width="4.125" style="455" customWidth="1"/>
    <col min="11266" max="11272" width="11.625" style="455" customWidth="1"/>
    <col min="11273" max="11520" width="9" style="455" customWidth="1"/>
    <col min="11521" max="11521" width="4.125" style="455" customWidth="1"/>
    <col min="11522" max="11528" width="11.625" style="455" customWidth="1"/>
    <col min="11529" max="11776" width="9" style="455" customWidth="1"/>
    <col min="11777" max="11777" width="4.125" style="455" customWidth="1"/>
    <col min="11778" max="11784" width="11.625" style="455" customWidth="1"/>
    <col min="11785" max="12032" width="9" style="455" customWidth="1"/>
    <col min="12033" max="12033" width="4.125" style="455" customWidth="1"/>
    <col min="12034" max="12040" width="11.625" style="455" customWidth="1"/>
    <col min="12041" max="12288" width="9" style="455" customWidth="1"/>
    <col min="12289" max="12289" width="4.125" style="455" customWidth="1"/>
    <col min="12290" max="12296" width="11.625" style="455" customWidth="1"/>
    <col min="12297" max="12544" width="9" style="455" customWidth="1"/>
    <col min="12545" max="12545" width="4.125" style="455" customWidth="1"/>
    <col min="12546" max="12552" width="11.625" style="455" customWidth="1"/>
    <col min="12553" max="12800" width="9" style="455" customWidth="1"/>
    <col min="12801" max="12801" width="4.125" style="455" customWidth="1"/>
    <col min="12802" max="12808" width="11.625" style="455" customWidth="1"/>
    <col min="12809" max="13056" width="9" style="455" customWidth="1"/>
    <col min="13057" max="13057" width="4.125" style="455" customWidth="1"/>
    <col min="13058" max="13064" width="11.625" style="455" customWidth="1"/>
    <col min="13065" max="13312" width="9" style="455" customWidth="1"/>
    <col min="13313" max="13313" width="4.125" style="455" customWidth="1"/>
    <col min="13314" max="13320" width="11.625" style="455" customWidth="1"/>
    <col min="13321" max="13568" width="9" style="455" customWidth="1"/>
    <col min="13569" max="13569" width="4.125" style="455" customWidth="1"/>
    <col min="13570" max="13576" width="11.625" style="455" customWidth="1"/>
    <col min="13577" max="13824" width="9" style="455" customWidth="1"/>
    <col min="13825" max="13825" width="4.125" style="455" customWidth="1"/>
    <col min="13826" max="13832" width="11.625" style="455" customWidth="1"/>
    <col min="13833" max="14080" width="9" style="455" customWidth="1"/>
    <col min="14081" max="14081" width="4.125" style="455" customWidth="1"/>
    <col min="14082" max="14088" width="11.625" style="455" customWidth="1"/>
    <col min="14089" max="14336" width="9" style="455" customWidth="1"/>
    <col min="14337" max="14337" width="4.125" style="455" customWidth="1"/>
    <col min="14338" max="14344" width="11.625" style="455" customWidth="1"/>
    <col min="14345" max="14592" width="9" style="455" customWidth="1"/>
    <col min="14593" max="14593" width="4.125" style="455" customWidth="1"/>
    <col min="14594" max="14600" width="11.625" style="455" customWidth="1"/>
    <col min="14601" max="14848" width="9" style="455" customWidth="1"/>
    <col min="14849" max="14849" width="4.125" style="455" customWidth="1"/>
    <col min="14850" max="14856" width="11.625" style="455" customWidth="1"/>
    <col min="14857" max="15104" width="9" style="455" customWidth="1"/>
    <col min="15105" max="15105" width="4.125" style="455" customWidth="1"/>
    <col min="15106" max="15112" width="11.625" style="455" customWidth="1"/>
    <col min="15113" max="15360" width="9" style="455" customWidth="1"/>
    <col min="15361" max="15361" width="4.125" style="455" customWidth="1"/>
    <col min="15362" max="15368" width="11.625" style="455" customWidth="1"/>
    <col min="15369" max="15616" width="9" style="455" customWidth="1"/>
    <col min="15617" max="15617" width="4.125" style="455" customWidth="1"/>
    <col min="15618" max="15624" width="11.625" style="455" customWidth="1"/>
    <col min="15625" max="15872" width="9" style="455" customWidth="1"/>
    <col min="15873" max="15873" width="4.125" style="455" customWidth="1"/>
    <col min="15874" max="15880" width="11.625" style="455" customWidth="1"/>
    <col min="15881" max="16128" width="9" style="455" customWidth="1"/>
    <col min="16129" max="16129" width="4.125" style="455" customWidth="1"/>
    <col min="16130" max="16136" width="11.625" style="455" customWidth="1"/>
    <col min="16137" max="16384" width="9" style="455" customWidth="1"/>
  </cols>
  <sheetData>
    <row r="1" spans="1:8">
      <c r="G1" s="1380" t="s">
        <v>3496</v>
      </c>
      <c r="H1" s="1380"/>
    </row>
    <row r="2" spans="1:8" ht="20.100000000000001" customHeight="1">
      <c r="A2" s="456" t="s">
        <v>24</v>
      </c>
      <c r="B2" s="451"/>
      <c r="C2" s="451"/>
      <c r="D2" s="451" t="s">
        <v>3514</v>
      </c>
      <c r="E2" s="451"/>
      <c r="F2" s="451"/>
      <c r="G2" s="451"/>
      <c r="H2" s="451"/>
    </row>
    <row r="3" spans="1:8" ht="20.100000000000001" customHeight="1">
      <c r="A3" s="457" t="s">
        <v>3502</v>
      </c>
      <c r="B3" s="458"/>
      <c r="C3" s="458"/>
      <c r="D3" s="458"/>
      <c r="E3" s="458"/>
      <c r="F3" s="458"/>
      <c r="G3" s="458"/>
      <c r="H3" s="459"/>
    </row>
    <row r="4" spans="1:8" ht="20.100000000000001" customHeight="1">
      <c r="A4" s="460" t="s">
        <v>3515</v>
      </c>
      <c r="B4" s="461"/>
      <c r="C4" s="461"/>
      <c r="D4" s="461"/>
      <c r="E4" s="461"/>
      <c r="F4" s="461"/>
      <c r="G4" s="461"/>
      <c r="H4" s="462"/>
    </row>
    <row r="5" spans="1:8" ht="20.100000000000001" customHeight="1">
      <c r="A5" s="463" t="s">
        <v>3516</v>
      </c>
      <c r="B5" s="464"/>
      <c r="C5" s="464"/>
      <c r="D5" s="464"/>
      <c r="E5" s="464"/>
      <c r="F5" s="464"/>
      <c r="G5" s="464"/>
      <c r="H5" s="465"/>
    </row>
    <row r="6" spans="1:8" ht="20.100000000000001" customHeight="1">
      <c r="A6" s="463" t="s">
        <v>3517</v>
      </c>
      <c r="B6" s="464"/>
      <c r="C6" s="464"/>
      <c r="D6" s="464"/>
      <c r="E6" s="464"/>
      <c r="F6" s="464"/>
      <c r="G6" s="464"/>
      <c r="H6" s="465"/>
    </row>
    <row r="7" spans="1:8" ht="20.100000000000001" customHeight="1">
      <c r="A7" s="463" t="s">
        <v>3518</v>
      </c>
      <c r="B7" s="464"/>
      <c r="C7" s="464"/>
      <c r="D7" s="464"/>
      <c r="E7" s="464"/>
      <c r="F7" s="464"/>
      <c r="G7" s="464"/>
      <c r="H7" s="465"/>
    </row>
    <row r="8" spans="1:8" ht="20.100000000000001" customHeight="1">
      <c r="A8" s="463" t="s">
        <v>3519</v>
      </c>
      <c r="B8" s="464"/>
      <c r="C8" s="464"/>
      <c r="D8" s="464"/>
      <c r="E8" s="464"/>
      <c r="F8" s="464"/>
      <c r="G8" s="464"/>
      <c r="H8" s="465"/>
    </row>
    <row r="9" spans="1:8" ht="20.100000000000001" customHeight="1">
      <c r="A9" s="466" t="s">
        <v>1684</v>
      </c>
      <c r="B9" s="467"/>
      <c r="C9" s="467"/>
      <c r="D9" s="467"/>
      <c r="E9" s="467"/>
      <c r="F9" s="467"/>
      <c r="G9" s="467"/>
      <c r="H9" s="468"/>
    </row>
    <row r="10" spans="1:8" ht="20.100000000000001" customHeight="1">
      <c r="A10" s="457" t="s">
        <v>3504</v>
      </c>
      <c r="B10" s="458"/>
      <c r="C10" s="458"/>
      <c r="D10" s="458"/>
      <c r="E10" s="458"/>
      <c r="F10" s="458"/>
      <c r="G10" s="458"/>
      <c r="H10" s="459"/>
    </row>
    <row r="11" spans="1:8" ht="20.100000000000001" customHeight="1">
      <c r="A11" s="460" t="s">
        <v>3520</v>
      </c>
      <c r="B11" s="461"/>
      <c r="C11" s="461"/>
      <c r="D11" s="461"/>
      <c r="E11" s="461"/>
      <c r="F11" s="461"/>
      <c r="G11" s="461"/>
      <c r="H11" s="462"/>
    </row>
    <row r="12" spans="1:8" ht="20.100000000000001" customHeight="1">
      <c r="A12" s="463" t="s">
        <v>3521</v>
      </c>
      <c r="B12" s="464"/>
      <c r="C12" s="464"/>
      <c r="D12" s="464"/>
      <c r="E12" s="464"/>
      <c r="F12" s="464"/>
      <c r="G12" s="464"/>
      <c r="H12" s="465"/>
    </row>
    <row r="13" spans="1:8" ht="20.100000000000001" customHeight="1">
      <c r="A13" s="463" t="s">
        <v>3522</v>
      </c>
      <c r="B13" s="464"/>
      <c r="C13" s="464"/>
      <c r="D13" s="464"/>
      <c r="E13" s="464"/>
      <c r="F13" s="464"/>
      <c r="G13" s="464"/>
      <c r="H13" s="465"/>
    </row>
    <row r="14" spans="1:8" ht="20.100000000000001" customHeight="1">
      <c r="A14" s="463" t="s">
        <v>3523</v>
      </c>
      <c r="B14" s="464"/>
      <c r="C14" s="464"/>
      <c r="D14" s="464"/>
      <c r="E14" s="464"/>
      <c r="F14" s="464"/>
      <c r="G14" s="464"/>
      <c r="H14" s="465"/>
    </row>
    <row r="15" spans="1:8" ht="20.100000000000001" customHeight="1">
      <c r="A15" s="463" t="s">
        <v>3524</v>
      </c>
      <c r="B15" s="464"/>
      <c r="C15" s="464"/>
      <c r="D15" s="464"/>
      <c r="E15" s="464"/>
      <c r="F15" s="464"/>
      <c r="G15" s="464"/>
      <c r="H15" s="465"/>
    </row>
    <row r="16" spans="1:8" ht="20.100000000000001" customHeight="1">
      <c r="A16" s="463" t="s">
        <v>3525</v>
      </c>
      <c r="B16" s="464"/>
      <c r="C16" s="464"/>
      <c r="D16" s="464"/>
      <c r="E16" s="464"/>
      <c r="F16" s="464"/>
      <c r="G16" s="464"/>
      <c r="H16" s="465"/>
    </row>
    <row r="17" spans="1:8" ht="20.100000000000001" customHeight="1">
      <c r="A17" s="463" t="s">
        <v>3526</v>
      </c>
      <c r="B17" s="464"/>
      <c r="C17" s="464"/>
      <c r="D17" s="464"/>
      <c r="E17" s="464"/>
      <c r="F17" s="464"/>
      <c r="G17" s="464"/>
      <c r="H17" s="465"/>
    </row>
    <row r="18" spans="1:8" ht="20.100000000000001" customHeight="1">
      <c r="A18" s="463" t="s">
        <v>3527</v>
      </c>
      <c r="B18" s="464"/>
      <c r="C18" s="464"/>
      <c r="D18" s="464"/>
      <c r="E18" s="464"/>
      <c r="F18" s="464"/>
      <c r="G18" s="464"/>
      <c r="H18" s="465"/>
    </row>
    <row r="19" spans="1:8" ht="20.100000000000001" customHeight="1">
      <c r="A19" s="463" t="s">
        <v>3528</v>
      </c>
      <c r="B19" s="464"/>
      <c r="C19" s="464"/>
      <c r="D19" s="464"/>
      <c r="E19" s="464"/>
      <c r="F19" s="464"/>
      <c r="G19" s="464"/>
      <c r="H19" s="465"/>
    </row>
    <row r="20" spans="1:8" ht="20.100000000000001" customHeight="1">
      <c r="A20" s="466" t="s">
        <v>1684</v>
      </c>
      <c r="B20" s="467"/>
      <c r="C20" s="467"/>
      <c r="D20" s="467"/>
      <c r="E20" s="467"/>
      <c r="F20" s="467"/>
      <c r="G20" s="467"/>
      <c r="H20" s="468"/>
    </row>
    <row r="21" spans="1:8" ht="20.100000000000001" customHeight="1">
      <c r="A21" s="457" t="s">
        <v>3506</v>
      </c>
      <c r="B21" s="458"/>
      <c r="C21" s="458"/>
      <c r="D21" s="458"/>
      <c r="E21" s="458"/>
      <c r="F21" s="458"/>
      <c r="G21" s="458"/>
      <c r="H21" s="459"/>
    </row>
    <row r="22" spans="1:8" ht="20.100000000000001" customHeight="1">
      <c r="A22" s="460" t="s">
        <v>3529</v>
      </c>
      <c r="B22" s="461"/>
      <c r="C22" s="461"/>
      <c r="D22" s="461"/>
      <c r="E22" s="461"/>
      <c r="F22" s="461"/>
      <c r="G22" s="461"/>
      <c r="H22" s="462"/>
    </row>
    <row r="23" spans="1:8" ht="20.100000000000001" customHeight="1">
      <c r="A23" s="463" t="s">
        <v>3530</v>
      </c>
      <c r="B23" s="464"/>
      <c r="C23" s="464"/>
      <c r="D23" s="464"/>
      <c r="E23" s="464"/>
      <c r="F23" s="464"/>
      <c r="G23" s="464"/>
      <c r="H23" s="465"/>
    </row>
    <row r="24" spans="1:8" ht="20.100000000000001" customHeight="1">
      <c r="A24" s="463" t="s">
        <v>3531</v>
      </c>
      <c r="B24" s="464"/>
      <c r="C24" s="464"/>
      <c r="D24" s="464"/>
      <c r="E24" s="464"/>
      <c r="F24" s="464"/>
      <c r="G24" s="464"/>
      <c r="H24" s="465"/>
    </row>
    <row r="25" spans="1:8" ht="20.100000000000001" customHeight="1">
      <c r="A25" s="463" t="s">
        <v>3532</v>
      </c>
      <c r="B25" s="464"/>
      <c r="C25" s="464"/>
      <c r="D25" s="464"/>
      <c r="E25" s="464"/>
      <c r="F25" s="464"/>
      <c r="G25" s="464"/>
      <c r="H25" s="465"/>
    </row>
    <row r="26" spans="1:8" ht="20.100000000000001" customHeight="1">
      <c r="A26" s="463" t="s">
        <v>3533</v>
      </c>
      <c r="B26" s="464"/>
      <c r="C26" s="464"/>
      <c r="D26" s="464"/>
      <c r="E26" s="464"/>
      <c r="F26" s="464"/>
      <c r="G26" s="464"/>
      <c r="H26" s="465"/>
    </row>
    <row r="27" spans="1:8" ht="20.100000000000001" customHeight="1">
      <c r="A27" s="463" t="s">
        <v>3534</v>
      </c>
      <c r="B27" s="464"/>
      <c r="C27" s="464"/>
      <c r="D27" s="464"/>
      <c r="E27" s="464"/>
      <c r="F27" s="464"/>
      <c r="G27" s="464"/>
      <c r="H27" s="465"/>
    </row>
    <row r="28" spans="1:8" ht="20.100000000000001" customHeight="1">
      <c r="A28" s="463" t="s">
        <v>3535</v>
      </c>
      <c r="B28" s="464"/>
      <c r="C28" s="464"/>
      <c r="D28" s="464"/>
      <c r="E28" s="464"/>
      <c r="F28" s="464"/>
      <c r="G28" s="464"/>
      <c r="H28" s="465"/>
    </row>
    <row r="29" spans="1:8" ht="20.100000000000001" customHeight="1">
      <c r="A29" s="463" t="s">
        <v>3536</v>
      </c>
      <c r="B29" s="464"/>
      <c r="C29" s="464"/>
      <c r="D29" s="464"/>
      <c r="E29" s="464"/>
      <c r="F29" s="464"/>
      <c r="G29" s="464"/>
      <c r="H29" s="465"/>
    </row>
    <row r="30" spans="1:8" ht="20.100000000000001" customHeight="1">
      <c r="A30" s="463" t="s">
        <v>3537</v>
      </c>
      <c r="B30" s="464"/>
      <c r="C30" s="464"/>
      <c r="D30" s="464"/>
      <c r="E30" s="464"/>
      <c r="F30" s="464"/>
      <c r="G30" s="464"/>
      <c r="H30" s="465"/>
    </row>
    <row r="31" spans="1:8" ht="20.100000000000001" customHeight="1">
      <c r="A31" s="466" t="s">
        <v>1684</v>
      </c>
      <c r="B31" s="467"/>
      <c r="C31" s="467"/>
      <c r="D31" s="467"/>
      <c r="E31" s="467"/>
      <c r="F31" s="467"/>
      <c r="G31" s="467"/>
      <c r="H31" s="468"/>
    </row>
    <row r="32" spans="1:8" ht="20.100000000000001" customHeight="1">
      <c r="A32" s="457" t="s">
        <v>3508</v>
      </c>
      <c r="B32" s="458"/>
      <c r="C32" s="458"/>
      <c r="D32" s="458"/>
      <c r="E32" s="458"/>
      <c r="F32" s="458"/>
      <c r="G32" s="458"/>
      <c r="H32" s="459"/>
    </row>
    <row r="33" spans="1:8" ht="20.100000000000001" customHeight="1">
      <c r="A33" s="460" t="s">
        <v>3538</v>
      </c>
      <c r="B33" s="461"/>
      <c r="C33" s="461"/>
      <c r="D33" s="461"/>
      <c r="E33" s="461"/>
      <c r="F33" s="461"/>
      <c r="G33" s="461"/>
      <c r="H33" s="462"/>
    </row>
    <row r="34" spans="1:8" ht="20.100000000000001" customHeight="1">
      <c r="A34" s="463" t="s">
        <v>3539</v>
      </c>
      <c r="B34" s="464"/>
      <c r="C34" s="464"/>
      <c r="D34" s="464"/>
      <c r="E34" s="464"/>
      <c r="F34" s="464"/>
      <c r="G34" s="464"/>
      <c r="H34" s="465"/>
    </row>
    <row r="35" spans="1:8" ht="20.100000000000001" customHeight="1">
      <c r="A35" s="463" t="s">
        <v>3540</v>
      </c>
      <c r="B35" s="464"/>
      <c r="C35" s="464"/>
      <c r="D35" s="464"/>
      <c r="E35" s="464"/>
      <c r="F35" s="464"/>
      <c r="G35" s="464"/>
      <c r="H35" s="465"/>
    </row>
    <row r="36" spans="1:8" ht="20.100000000000001" customHeight="1">
      <c r="A36" s="463" t="s">
        <v>3541</v>
      </c>
      <c r="B36" s="464"/>
      <c r="C36" s="464"/>
      <c r="D36" s="464"/>
      <c r="E36" s="464"/>
      <c r="F36" s="464"/>
      <c r="G36" s="464"/>
      <c r="H36" s="465"/>
    </row>
    <row r="37" spans="1:8" ht="20.100000000000001" customHeight="1">
      <c r="A37" s="463" t="s">
        <v>3542</v>
      </c>
      <c r="B37" s="464"/>
      <c r="C37" s="464"/>
      <c r="D37" s="464"/>
      <c r="E37" s="464"/>
      <c r="F37" s="464"/>
      <c r="G37" s="464"/>
      <c r="H37" s="465"/>
    </row>
    <row r="38" spans="1:8" ht="20.100000000000001" customHeight="1">
      <c r="A38" s="463" t="s">
        <v>3543</v>
      </c>
      <c r="B38" s="464"/>
      <c r="C38" s="464"/>
      <c r="D38" s="464"/>
      <c r="E38" s="464"/>
      <c r="F38" s="464"/>
      <c r="G38" s="464"/>
      <c r="H38" s="465"/>
    </row>
    <row r="39" spans="1:8" ht="20.100000000000001" customHeight="1">
      <c r="A39" s="463" t="s">
        <v>3544</v>
      </c>
      <c r="B39" s="464"/>
      <c r="C39" s="464"/>
      <c r="D39" s="464"/>
      <c r="E39" s="464"/>
      <c r="F39" s="464"/>
      <c r="G39" s="464"/>
      <c r="H39" s="465"/>
    </row>
    <row r="40" spans="1:8" ht="20.100000000000001" customHeight="1">
      <c r="A40" s="463" t="s">
        <v>3545</v>
      </c>
      <c r="B40" s="464"/>
      <c r="C40" s="464"/>
      <c r="D40" s="464"/>
      <c r="E40" s="464"/>
      <c r="F40" s="464"/>
      <c r="G40" s="464"/>
      <c r="H40" s="465"/>
    </row>
    <row r="41" spans="1:8" ht="20.100000000000001" customHeight="1">
      <c r="A41" s="463" t="s">
        <v>1684</v>
      </c>
      <c r="B41" s="469"/>
      <c r="C41" s="469"/>
      <c r="D41" s="469"/>
      <c r="E41" s="469"/>
      <c r="F41" s="469"/>
      <c r="G41" s="469"/>
      <c r="H41" s="470"/>
    </row>
    <row r="42" spans="1:8" ht="20.100000000000001" customHeight="1">
      <c r="A42" s="471"/>
      <c r="B42" s="469"/>
      <c r="C42" s="469"/>
      <c r="D42" s="469"/>
      <c r="E42" s="469"/>
      <c r="F42" s="469"/>
      <c r="G42" s="469"/>
      <c r="H42" s="470"/>
    </row>
    <row r="43" spans="1:8" ht="20.100000000000001" customHeight="1">
      <c r="A43" s="472"/>
      <c r="B43" s="473"/>
      <c r="C43" s="473"/>
      <c r="D43" s="473"/>
      <c r="E43" s="473"/>
      <c r="F43" s="473"/>
      <c r="G43" s="473"/>
      <c r="H43" s="474"/>
    </row>
    <row r="44" spans="1:8" ht="20.100000000000001" customHeight="1"/>
    <row r="45" spans="1:8" ht="20.100000000000001" customHeight="1"/>
    <row r="46" spans="1:8" ht="20.100000000000001" customHeight="1"/>
    <row r="47" spans="1:8" ht="20.100000000000001" customHeight="1"/>
    <row r="48" spans="1:8" ht="20.100000000000001" customHeight="1"/>
    <row r="49" ht="20.100000000000001" customHeight="1"/>
    <row r="50" ht="20.100000000000001" customHeight="1"/>
    <row r="51" ht="20.100000000000001" customHeight="1"/>
    <row r="52" ht="20.100000000000001" customHeight="1"/>
    <row r="53" ht="20.100000000000001" customHeight="1"/>
  </sheetData>
  <mergeCells count="1">
    <mergeCell ref="G1:H1"/>
  </mergeCells>
  <phoneticPr fontId="116"/>
  <pageMargins left="0.70866141732283472" right="0.70866141732283472" top="0.39370078740157483" bottom="0.3937007874015748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57"/>
  <sheetViews>
    <sheetView view="pageBreakPreview" zoomScaleNormal="100" zoomScaleSheetLayoutView="100" workbookViewId="0"/>
  </sheetViews>
  <sheetFormatPr defaultColWidth="9" defaultRowHeight="14.25"/>
  <cols>
    <col min="1" max="1" width="5.625" style="500" customWidth="1"/>
    <col min="2" max="2" width="3.625" style="500" customWidth="1"/>
    <col min="3" max="3" width="2.125" style="500" customWidth="1"/>
    <col min="4" max="4" width="3.625" style="500" customWidth="1"/>
    <col min="5" max="5" width="2.125" style="500" customWidth="1"/>
    <col min="6" max="6" width="10.875" style="500" customWidth="1"/>
    <col min="7" max="7" width="15.625" style="500" customWidth="1"/>
    <col min="8" max="8" width="3.625" style="500" customWidth="1"/>
    <col min="9" max="9" width="2.125" style="500" customWidth="1"/>
    <col min="10" max="10" width="3.625" style="500" customWidth="1"/>
    <col min="11" max="11" width="9" style="500" customWidth="1"/>
    <col min="12" max="16384" width="9" style="500"/>
  </cols>
  <sheetData>
    <row r="1" spans="1:14" ht="17.100000000000001" customHeight="1">
      <c r="A1" s="1400" t="s">
        <v>3546</v>
      </c>
      <c r="B1" s="1401"/>
      <c r="C1" s="1401"/>
      <c r="D1" s="1401"/>
      <c r="E1" s="1401"/>
      <c r="F1" s="1401"/>
      <c r="G1" s="1401"/>
      <c r="H1" s="1401"/>
      <c r="I1" s="1401"/>
      <c r="J1" s="1401"/>
      <c r="K1" s="1401"/>
      <c r="L1" s="1401"/>
      <c r="M1" s="1401"/>
      <c r="N1" s="1402"/>
    </row>
    <row r="2" spans="1:14" ht="14.25" customHeight="1">
      <c r="A2" s="501"/>
      <c r="B2" s="501"/>
      <c r="C2" s="501"/>
      <c r="D2" s="501"/>
      <c r="E2" s="501"/>
      <c r="F2" s="501"/>
      <c r="G2" s="501"/>
      <c r="H2" s="501"/>
      <c r="I2" s="501"/>
      <c r="J2" s="501"/>
      <c r="K2" s="501"/>
      <c r="L2" s="501"/>
      <c r="M2" s="1403" t="s">
        <v>3547</v>
      </c>
      <c r="N2" s="1404"/>
    </row>
    <row r="3" spans="1:14" ht="14.25" customHeight="1"/>
    <row r="4" spans="1:14" s="503" customFormat="1" ht="17.100000000000001" customHeight="1">
      <c r="A4" s="502" t="s">
        <v>1665</v>
      </c>
      <c r="B4" s="1405" t="s">
        <v>3548</v>
      </c>
      <c r="C4" s="1405"/>
      <c r="D4" s="1406"/>
      <c r="E4" s="1406"/>
      <c r="F4" s="1406"/>
      <c r="G4" s="1406"/>
      <c r="H4" s="1406"/>
      <c r="I4" s="1406"/>
      <c r="J4" s="1406"/>
      <c r="K4" s="1406"/>
      <c r="L4" s="1406"/>
      <c r="M4" s="1406"/>
      <c r="N4" s="1402"/>
    </row>
    <row r="5" spans="1:14" s="503" customFormat="1" ht="17.100000000000001" customHeight="1">
      <c r="A5" s="504"/>
      <c r="B5" s="1406"/>
      <c r="C5" s="1406"/>
      <c r="D5" s="1406"/>
      <c r="E5" s="1406"/>
      <c r="F5" s="1406"/>
      <c r="G5" s="1406"/>
      <c r="H5" s="1406"/>
      <c r="I5" s="1406"/>
      <c r="J5" s="1406"/>
      <c r="K5" s="1406"/>
      <c r="L5" s="1406"/>
      <c r="M5" s="1406"/>
      <c r="N5" s="1402"/>
    </row>
    <row r="6" spans="1:14" s="503" customFormat="1" ht="14.25" customHeight="1">
      <c r="A6" s="504"/>
      <c r="B6" s="505"/>
      <c r="C6" s="504"/>
      <c r="D6" s="505"/>
      <c r="E6" s="504"/>
      <c r="F6" s="505"/>
      <c r="G6" s="505"/>
      <c r="H6" s="505"/>
      <c r="I6" s="504"/>
      <c r="J6" s="505"/>
      <c r="K6" s="505"/>
      <c r="L6" s="505"/>
      <c r="M6" s="505"/>
    </row>
    <row r="7" spans="1:14" ht="14.25" customHeight="1">
      <c r="A7" s="506" t="s">
        <v>3218</v>
      </c>
      <c r="B7" s="507" t="s">
        <v>2832</v>
      </c>
      <c r="C7" s="506"/>
      <c r="D7" s="1407" t="s">
        <v>3549</v>
      </c>
      <c r="E7" s="1407"/>
      <c r="F7" s="1407"/>
      <c r="G7" s="1407"/>
      <c r="H7" s="1407"/>
      <c r="I7" s="1407"/>
      <c r="J7" s="1407"/>
      <c r="K7" s="1407"/>
      <c r="L7" s="1407"/>
      <c r="M7" s="1407"/>
      <c r="N7" s="1402"/>
    </row>
    <row r="8" spans="1:14" ht="14.25" customHeight="1">
      <c r="A8" s="506"/>
      <c r="C8" s="506"/>
      <c r="D8" s="1407"/>
      <c r="E8" s="1407"/>
      <c r="F8" s="1407"/>
      <c r="G8" s="1407"/>
      <c r="H8" s="1407"/>
      <c r="I8" s="1407"/>
      <c r="J8" s="1407"/>
      <c r="K8" s="1407"/>
      <c r="L8" s="1407"/>
      <c r="M8" s="1407"/>
      <c r="N8" s="1402"/>
    </row>
    <row r="9" spans="1:14" ht="14.25" customHeight="1">
      <c r="A9" s="506"/>
      <c r="C9" s="506"/>
      <c r="D9" s="507" t="s">
        <v>2832</v>
      </c>
      <c r="E9" s="506"/>
      <c r="F9" s="508" t="s">
        <v>3550</v>
      </c>
      <c r="G9" s="509"/>
      <c r="H9" s="507" t="s">
        <v>2832</v>
      </c>
      <c r="I9" s="506"/>
      <c r="J9" s="508" t="s">
        <v>3551</v>
      </c>
      <c r="K9" s="509"/>
      <c r="L9" s="509"/>
      <c r="M9" s="509"/>
    </row>
    <row r="10" spans="1:14" ht="14.25" customHeight="1">
      <c r="A10" s="506"/>
      <c r="C10" s="506"/>
      <c r="D10" s="507" t="s">
        <v>2832</v>
      </c>
      <c r="E10" s="506"/>
      <c r="F10" s="508" t="s">
        <v>3552</v>
      </c>
      <c r="G10" s="509"/>
      <c r="H10" s="509"/>
      <c r="I10" s="506"/>
      <c r="J10" s="509"/>
      <c r="K10" s="509"/>
      <c r="L10" s="509"/>
      <c r="M10" s="509"/>
    </row>
    <row r="11" spans="1:14" s="503" customFormat="1" ht="14.25" customHeight="1">
      <c r="A11" s="504"/>
      <c r="B11" s="505"/>
      <c r="C11" s="504"/>
      <c r="D11" s="505"/>
      <c r="E11" s="504"/>
      <c r="F11" s="505"/>
      <c r="G11" s="505"/>
      <c r="H11" s="505"/>
      <c r="I11" s="504"/>
      <c r="J11" s="505"/>
      <c r="K11" s="505"/>
      <c r="L11" s="505"/>
      <c r="M11" s="505"/>
    </row>
    <row r="12" spans="1:14" ht="14.25" customHeight="1">
      <c r="A12" s="506" t="s">
        <v>3220</v>
      </c>
      <c r="B12" s="507" t="s">
        <v>2832</v>
      </c>
      <c r="C12" s="506"/>
      <c r="D12" s="500" t="s">
        <v>3553</v>
      </c>
      <c r="E12" s="506"/>
      <c r="I12" s="506"/>
    </row>
    <row r="13" spans="1:14" ht="14.25" customHeight="1">
      <c r="A13" s="510"/>
      <c r="C13" s="510"/>
      <c r="D13" s="507" t="s">
        <v>2832</v>
      </c>
      <c r="E13" s="510"/>
      <c r="F13" s="500" t="s">
        <v>3552</v>
      </c>
      <c r="H13" s="507" t="s">
        <v>2832</v>
      </c>
      <c r="I13" s="510"/>
      <c r="J13" s="500" t="s">
        <v>3554</v>
      </c>
    </row>
    <row r="14" spans="1:14" s="503" customFormat="1" ht="14.25" customHeight="1">
      <c r="A14" s="504"/>
      <c r="C14" s="504"/>
      <c r="E14" s="504"/>
      <c r="I14" s="504"/>
    </row>
    <row r="15" spans="1:14" s="503" customFormat="1" ht="17.100000000000001" customHeight="1">
      <c r="A15" s="502" t="s">
        <v>1710</v>
      </c>
      <c r="B15" s="511" t="s">
        <v>3555</v>
      </c>
      <c r="C15" s="502"/>
      <c r="E15" s="502"/>
      <c r="I15" s="502"/>
    </row>
    <row r="16" spans="1:14" s="503" customFormat="1" ht="14.25" customHeight="1">
      <c r="A16" s="502"/>
      <c r="B16" s="511"/>
      <c r="C16" s="502"/>
      <c r="E16" s="502"/>
      <c r="I16" s="502"/>
    </row>
    <row r="17" spans="1:16" ht="14.25" customHeight="1">
      <c r="A17" s="506" t="s">
        <v>3218</v>
      </c>
      <c r="B17" s="507" t="s">
        <v>2832</v>
      </c>
      <c r="C17" s="506"/>
      <c r="D17" s="512" t="s">
        <v>3556</v>
      </c>
      <c r="E17" s="506"/>
      <c r="I17" s="506"/>
    </row>
    <row r="18" spans="1:16" ht="14.25" customHeight="1">
      <c r="D18" s="507" t="s">
        <v>2832</v>
      </c>
      <c r="F18" s="500" t="s">
        <v>234</v>
      </c>
      <c r="H18" s="507" t="s">
        <v>2832</v>
      </c>
      <c r="J18" s="500" t="s">
        <v>434</v>
      </c>
    </row>
    <row r="19" spans="1:16" ht="14.25" customHeight="1">
      <c r="D19" s="507" t="s">
        <v>2832</v>
      </c>
      <c r="F19" s="500" t="s">
        <v>3340</v>
      </c>
      <c r="H19" s="507" t="s">
        <v>2832</v>
      </c>
      <c r="J19" s="500" t="s">
        <v>1491</v>
      </c>
    </row>
    <row r="20" spans="1:16" ht="14.25" customHeight="1">
      <c r="D20" s="507" t="s">
        <v>2832</v>
      </c>
      <c r="F20" s="500" t="s">
        <v>3557</v>
      </c>
      <c r="G20" s="1396"/>
      <c r="H20" s="1396"/>
      <c r="I20" s="1396"/>
      <c r="J20" s="1396"/>
      <c r="K20" s="1396"/>
      <c r="L20" s="1396"/>
      <c r="M20" s="1396"/>
      <c r="N20" s="500" t="s">
        <v>2913</v>
      </c>
    </row>
    <row r="21" spans="1:16" s="503" customFormat="1" ht="14.25" customHeight="1">
      <c r="A21" s="502"/>
      <c r="B21" s="511"/>
      <c r="C21" s="502"/>
      <c r="E21" s="502"/>
      <c r="I21" s="502"/>
    </row>
    <row r="22" spans="1:16" ht="14.25" customHeight="1">
      <c r="A22" s="506" t="s">
        <v>3220</v>
      </c>
      <c r="B22" s="507" t="s">
        <v>2832</v>
      </c>
      <c r="C22" s="506"/>
      <c r="D22" s="1399" t="s">
        <v>3558</v>
      </c>
      <c r="E22" s="1399"/>
      <c r="F22" s="1399"/>
      <c r="G22" s="1399"/>
      <c r="H22" s="1399"/>
      <c r="I22" s="1399"/>
      <c r="J22" s="1399"/>
      <c r="K22" s="1399"/>
      <c r="L22" s="1399"/>
      <c r="M22" s="1399"/>
      <c r="N22" s="1399"/>
    </row>
    <row r="23" spans="1:16" ht="14.25" customHeight="1">
      <c r="A23" s="506"/>
      <c r="B23" s="503"/>
      <c r="C23" s="506"/>
      <c r="D23" s="1399"/>
      <c r="E23" s="1399"/>
      <c r="F23" s="1399"/>
      <c r="G23" s="1399"/>
      <c r="H23" s="1399"/>
      <c r="I23" s="1399"/>
      <c r="J23" s="1399"/>
      <c r="K23" s="1399"/>
      <c r="L23" s="1399"/>
      <c r="M23" s="1399"/>
      <c r="N23" s="1399"/>
    </row>
    <row r="24" spans="1:16" s="503" customFormat="1" ht="14.25" customHeight="1">
      <c r="C24" s="500" t="s">
        <v>3559</v>
      </c>
    </row>
    <row r="25" spans="1:16" ht="14.25" customHeight="1">
      <c r="A25" s="510"/>
      <c r="C25" s="510"/>
      <c r="D25" s="507" t="s">
        <v>2832</v>
      </c>
      <c r="E25" s="510"/>
      <c r="F25" s="500" t="s">
        <v>3560</v>
      </c>
      <c r="I25" s="510"/>
    </row>
    <row r="26" spans="1:16" ht="14.25" customHeight="1">
      <c r="D26" s="507" t="s">
        <v>2832</v>
      </c>
      <c r="F26" s="500" t="s">
        <v>3557</v>
      </c>
      <c r="G26" s="1396"/>
      <c r="H26" s="1396"/>
      <c r="I26" s="1396"/>
      <c r="J26" s="1396"/>
      <c r="K26" s="1396"/>
      <c r="L26" s="1396"/>
      <c r="M26" s="1396"/>
      <c r="N26" s="500" t="s">
        <v>2913</v>
      </c>
      <c r="P26" s="508"/>
    </row>
    <row r="27" spans="1:16" s="503" customFormat="1" ht="14.25" customHeight="1">
      <c r="C27" s="500" t="s">
        <v>3561</v>
      </c>
    </row>
    <row r="28" spans="1:16" s="503" customFormat="1" ht="14.25" customHeight="1">
      <c r="D28" s="507" t="s">
        <v>2832</v>
      </c>
      <c r="E28" s="500"/>
      <c r="F28" s="500" t="s">
        <v>234</v>
      </c>
      <c r="G28" s="500"/>
      <c r="H28" s="507" t="s">
        <v>2832</v>
      </c>
      <c r="I28" s="500"/>
      <c r="J28" s="500" t="s">
        <v>434</v>
      </c>
      <c r="K28" s="500"/>
      <c r="L28" s="500"/>
      <c r="M28" s="500"/>
      <c r="N28" s="500"/>
    </row>
    <row r="29" spans="1:16" s="503" customFormat="1" ht="14.25" customHeight="1">
      <c r="D29" s="507" t="s">
        <v>2832</v>
      </c>
      <c r="E29" s="500"/>
      <c r="F29" s="500" t="s">
        <v>3340</v>
      </c>
      <c r="G29" s="500"/>
      <c r="H29" s="507" t="s">
        <v>2832</v>
      </c>
      <c r="I29" s="500"/>
      <c r="J29" s="500" t="s">
        <v>1491</v>
      </c>
      <c r="K29" s="500"/>
      <c r="L29" s="500"/>
      <c r="M29" s="500"/>
      <c r="N29" s="500"/>
    </row>
    <row r="30" spans="1:16" s="503" customFormat="1" ht="14.25" customHeight="1">
      <c r="D30" s="507" t="s">
        <v>2832</v>
      </c>
      <c r="E30" s="500"/>
      <c r="F30" s="500" t="s">
        <v>3557</v>
      </c>
      <c r="G30" s="1396"/>
      <c r="H30" s="1396"/>
      <c r="I30" s="1396"/>
      <c r="J30" s="1396"/>
      <c r="K30" s="1396"/>
      <c r="L30" s="1396"/>
      <c r="M30" s="1396"/>
      <c r="N30" s="500" t="s">
        <v>2913</v>
      </c>
    </row>
    <row r="31" spans="1:16" s="503" customFormat="1" ht="14.25" customHeight="1"/>
    <row r="32" spans="1:16" ht="14.25" customHeight="1">
      <c r="A32" s="506" t="s">
        <v>3221</v>
      </c>
      <c r="B32" s="507" t="s">
        <v>2832</v>
      </c>
      <c r="C32" s="506"/>
      <c r="D32" s="512" t="s">
        <v>3562</v>
      </c>
      <c r="E32" s="513"/>
      <c r="F32" s="513"/>
      <c r="G32" s="513"/>
      <c r="H32" s="513"/>
      <c r="I32" s="513"/>
      <c r="J32" s="513"/>
      <c r="K32" s="513"/>
      <c r="L32" s="513"/>
      <c r="M32" s="513"/>
      <c r="N32" s="514"/>
    </row>
    <row r="33" spans="1:16" s="503" customFormat="1" ht="14.25" customHeight="1">
      <c r="C33" s="500" t="s">
        <v>3563</v>
      </c>
    </row>
    <row r="34" spans="1:16" ht="14.25" customHeight="1">
      <c r="D34" s="507" t="s">
        <v>2832</v>
      </c>
      <c r="F34" s="500" t="s">
        <v>234</v>
      </c>
      <c r="H34" s="507" t="s">
        <v>2832</v>
      </c>
      <c r="J34" s="500" t="s">
        <v>434</v>
      </c>
    </row>
    <row r="35" spans="1:16" ht="14.25" customHeight="1">
      <c r="D35" s="507" t="s">
        <v>2832</v>
      </c>
      <c r="F35" s="500" t="s">
        <v>3340</v>
      </c>
      <c r="H35" s="507" t="s">
        <v>2832</v>
      </c>
      <c r="J35" s="500" t="s">
        <v>1491</v>
      </c>
    </row>
    <row r="36" spans="1:16" ht="14.25" customHeight="1">
      <c r="D36" s="507" t="s">
        <v>2832</v>
      </c>
      <c r="F36" s="500" t="s">
        <v>3557</v>
      </c>
      <c r="G36" s="1396"/>
      <c r="H36" s="1396"/>
      <c r="I36" s="1396"/>
      <c r="J36" s="1396"/>
      <c r="K36" s="1396"/>
      <c r="L36" s="1396"/>
      <c r="M36" s="1396"/>
      <c r="N36" s="500" t="s">
        <v>2913</v>
      </c>
    </row>
    <row r="37" spans="1:16" s="503" customFormat="1" ht="14.25" customHeight="1">
      <c r="C37" s="1397" t="s">
        <v>3564</v>
      </c>
      <c r="D37" s="1398"/>
      <c r="E37" s="1398"/>
      <c r="F37" s="1398"/>
      <c r="G37" s="1398"/>
      <c r="H37" s="1398"/>
      <c r="I37" s="1398"/>
      <c r="J37" s="1398"/>
      <c r="K37" s="1398"/>
      <c r="L37" s="1398"/>
      <c r="M37" s="1398"/>
      <c r="N37" s="1398"/>
    </row>
    <row r="38" spans="1:16" s="503" customFormat="1" ht="14.25" customHeight="1">
      <c r="C38" s="1398"/>
      <c r="D38" s="1398"/>
      <c r="E38" s="1398"/>
      <c r="F38" s="1398"/>
      <c r="G38" s="1398"/>
      <c r="H38" s="1398"/>
      <c r="I38" s="1398"/>
      <c r="J38" s="1398"/>
      <c r="K38" s="1398"/>
      <c r="L38" s="1398"/>
      <c r="M38" s="1398"/>
      <c r="N38" s="1398"/>
    </row>
    <row r="39" spans="1:16" s="503" customFormat="1" ht="14.25" customHeight="1">
      <c r="D39" s="507" t="s">
        <v>2832</v>
      </c>
      <c r="E39" s="500"/>
      <c r="F39" s="500" t="s">
        <v>234</v>
      </c>
      <c r="G39" s="500"/>
      <c r="H39" s="507" t="s">
        <v>2832</v>
      </c>
      <c r="I39" s="500"/>
      <c r="J39" s="500" t="s">
        <v>434</v>
      </c>
      <c r="K39" s="500"/>
      <c r="L39" s="500"/>
      <c r="M39" s="500"/>
      <c r="N39" s="500"/>
    </row>
    <row r="40" spans="1:16" s="503" customFormat="1" ht="14.25" customHeight="1">
      <c r="D40" s="507" t="s">
        <v>2832</v>
      </c>
      <c r="E40" s="500"/>
      <c r="F40" s="500" t="s">
        <v>3340</v>
      </c>
      <c r="G40" s="500"/>
      <c r="H40" s="507" t="s">
        <v>2832</v>
      </c>
      <c r="I40" s="500"/>
      <c r="J40" s="500" t="s">
        <v>1491</v>
      </c>
      <c r="K40" s="500"/>
      <c r="L40" s="500"/>
      <c r="M40" s="500"/>
      <c r="N40" s="500"/>
    </row>
    <row r="41" spans="1:16" s="503" customFormat="1" ht="14.25" customHeight="1">
      <c r="D41" s="507" t="s">
        <v>2832</v>
      </c>
      <c r="E41" s="500"/>
      <c r="F41" s="500" t="s">
        <v>3557</v>
      </c>
      <c r="G41" s="1396"/>
      <c r="H41" s="1396"/>
      <c r="I41" s="1396"/>
      <c r="J41" s="1396"/>
      <c r="K41" s="1396"/>
      <c r="L41" s="1396"/>
      <c r="M41" s="1396"/>
      <c r="N41" s="500" t="s">
        <v>2913</v>
      </c>
    </row>
    <row r="42" spans="1:16" s="503" customFormat="1" ht="14.25" customHeight="1"/>
    <row r="43" spans="1:16" s="503" customFormat="1" ht="17.100000000000001" customHeight="1">
      <c r="A43" s="502" t="s">
        <v>1717</v>
      </c>
      <c r="B43" s="511" t="s">
        <v>3565</v>
      </c>
      <c r="C43" s="502"/>
      <c r="E43" s="502"/>
      <c r="I43" s="502"/>
    </row>
    <row r="44" spans="1:16" s="503" customFormat="1" ht="14.25" customHeight="1">
      <c r="A44" s="502"/>
      <c r="B44" s="511"/>
      <c r="C44" s="502"/>
      <c r="E44" s="502"/>
      <c r="I44" s="502"/>
    </row>
    <row r="45" spans="1:16" ht="14.25" customHeight="1">
      <c r="A45" s="506" t="s">
        <v>3218</v>
      </c>
      <c r="B45" s="507" t="s">
        <v>2832</v>
      </c>
      <c r="C45" s="506"/>
      <c r="D45" s="512" t="s">
        <v>3566</v>
      </c>
      <c r="E45" s="515"/>
      <c r="F45" s="515"/>
      <c r="G45" s="515"/>
      <c r="H45" s="515"/>
      <c r="I45" s="515"/>
      <c r="J45" s="515"/>
      <c r="K45" s="515"/>
      <c r="L45" s="515"/>
      <c r="M45" s="515"/>
      <c r="N45" s="515"/>
    </row>
    <row r="46" spans="1:16" ht="14.25" customHeight="1">
      <c r="A46" s="506"/>
      <c r="B46" s="511"/>
      <c r="C46" s="506"/>
      <c r="D46" s="515"/>
      <c r="E46" s="515"/>
      <c r="F46" s="515"/>
      <c r="G46" s="515"/>
      <c r="H46" s="515"/>
      <c r="I46" s="515"/>
      <c r="J46" s="515"/>
      <c r="K46" s="515"/>
      <c r="L46" s="515"/>
      <c r="M46" s="515"/>
      <c r="N46" s="515"/>
    </row>
    <row r="47" spans="1:16" ht="14.25" customHeight="1">
      <c r="A47" s="506" t="s">
        <v>3220</v>
      </c>
      <c r="B47" s="507" t="s">
        <v>2832</v>
      </c>
      <c r="C47" s="506"/>
      <c r="D47" s="500" t="s">
        <v>3567</v>
      </c>
      <c r="E47" s="506"/>
      <c r="I47" s="506"/>
      <c r="P47" s="508"/>
    </row>
    <row r="48" spans="1:16" ht="14.25" customHeight="1">
      <c r="D48" s="507" t="s">
        <v>2832</v>
      </c>
      <c r="F48" s="500" t="s">
        <v>234</v>
      </c>
      <c r="H48" s="507" t="s">
        <v>2832</v>
      </c>
      <c r="J48" s="500" t="s">
        <v>434</v>
      </c>
    </row>
    <row r="49" spans="1:14" ht="14.25" customHeight="1">
      <c r="D49" s="507" t="s">
        <v>2832</v>
      </c>
      <c r="F49" s="500" t="s">
        <v>3340</v>
      </c>
      <c r="H49" s="507" t="s">
        <v>2832</v>
      </c>
      <c r="J49" s="500" t="s">
        <v>1491</v>
      </c>
    </row>
    <row r="50" spans="1:14" ht="14.25" customHeight="1">
      <c r="D50" s="507" t="s">
        <v>2832</v>
      </c>
      <c r="F50" s="500" t="s">
        <v>3557</v>
      </c>
      <c r="G50" s="1396"/>
      <c r="H50" s="1396"/>
      <c r="I50" s="1396"/>
      <c r="J50" s="1396"/>
      <c r="K50" s="1396"/>
      <c r="L50" s="1396"/>
      <c r="M50" s="1396"/>
      <c r="N50" s="500" t="s">
        <v>2913</v>
      </c>
    </row>
    <row r="51" spans="1:14" ht="14.25" customHeight="1"/>
    <row r="52" spans="1:14" ht="17.100000000000001" customHeight="1">
      <c r="A52" s="502" t="s">
        <v>2228</v>
      </c>
      <c r="B52" s="511" t="s">
        <v>2</v>
      </c>
      <c r="C52" s="502"/>
      <c r="E52" s="502"/>
      <c r="G52" s="1384"/>
      <c r="H52" s="1384"/>
      <c r="I52" s="1384"/>
      <c r="J52" s="1384"/>
      <c r="K52" s="1384"/>
      <c r="L52" s="1384"/>
    </row>
    <row r="53" spans="1:14" ht="14.25" customHeight="1">
      <c r="B53" s="1385"/>
      <c r="C53" s="1386"/>
      <c r="D53" s="1386"/>
      <c r="E53" s="1386"/>
      <c r="F53" s="1386"/>
      <c r="G53" s="1386"/>
      <c r="H53" s="1386"/>
      <c r="I53" s="1386"/>
      <c r="J53" s="1386"/>
      <c r="K53" s="1386"/>
      <c r="L53" s="1386"/>
      <c r="M53" s="1387"/>
      <c r="N53" s="1388"/>
    </row>
    <row r="54" spans="1:14" ht="14.25" customHeight="1">
      <c r="B54" s="1389"/>
      <c r="C54" s="1390"/>
      <c r="D54" s="1390"/>
      <c r="E54" s="1390"/>
      <c r="F54" s="1390"/>
      <c r="G54" s="1390"/>
      <c r="H54" s="1390"/>
      <c r="I54" s="1390"/>
      <c r="J54" s="1390"/>
      <c r="K54" s="1390"/>
      <c r="L54" s="1390"/>
      <c r="M54" s="1391"/>
      <c r="N54" s="1392"/>
    </row>
    <row r="55" spans="1:14" ht="14.25" customHeight="1">
      <c r="B55" s="1389"/>
      <c r="C55" s="1390"/>
      <c r="D55" s="1390"/>
      <c r="E55" s="1390"/>
      <c r="F55" s="1390"/>
      <c r="G55" s="1390"/>
      <c r="H55" s="1390"/>
      <c r="I55" s="1390"/>
      <c r="J55" s="1390"/>
      <c r="K55" s="1390"/>
      <c r="L55" s="1390"/>
      <c r="M55" s="1391"/>
      <c r="N55" s="1392"/>
    </row>
    <row r="56" spans="1:14" ht="14.25" customHeight="1">
      <c r="B56" s="1389"/>
      <c r="C56" s="1390"/>
      <c r="D56" s="1390"/>
      <c r="E56" s="1390"/>
      <c r="F56" s="1390"/>
      <c r="G56" s="1390"/>
      <c r="H56" s="1390"/>
      <c r="I56" s="1390"/>
      <c r="J56" s="1390"/>
      <c r="K56" s="1390"/>
      <c r="L56" s="1390"/>
      <c r="M56" s="1391"/>
      <c r="N56" s="1392"/>
    </row>
    <row r="57" spans="1:14">
      <c r="B57" s="1393"/>
      <c r="C57" s="1394"/>
      <c r="D57" s="1394"/>
      <c r="E57" s="1394"/>
      <c r="F57" s="1394"/>
      <c r="G57" s="1394"/>
      <c r="H57" s="1394"/>
      <c r="I57" s="1394"/>
      <c r="J57" s="1394"/>
      <c r="K57" s="1394"/>
      <c r="L57" s="1394"/>
      <c r="M57" s="1394"/>
      <c r="N57" s="1395"/>
    </row>
  </sheetData>
  <mergeCells count="14">
    <mergeCell ref="D22:N23"/>
    <mergeCell ref="A1:N1"/>
    <mergeCell ref="M2:N2"/>
    <mergeCell ref="B4:N5"/>
    <mergeCell ref="D7:N8"/>
    <mergeCell ref="G20:M20"/>
    <mergeCell ref="G52:L52"/>
    <mergeCell ref="B53:N57"/>
    <mergeCell ref="G26:M26"/>
    <mergeCell ref="G30:M30"/>
    <mergeCell ref="G36:M36"/>
    <mergeCell ref="C37:N38"/>
    <mergeCell ref="G41:M41"/>
    <mergeCell ref="G50:M50"/>
  </mergeCells>
  <phoneticPr fontId="116"/>
  <dataValidations count="1">
    <dataValidation type="list" allowBlank="1" showInputMessage="1" showErrorMessage="1" sqref="B7 B12 B17 B22 B32 B45 B47 D9:D10 D13 D18:D20 D25:D26 D28:D30 D34:D36 D39:D41 D48:D50 H9 H13 H18:H19 H28:H29 H34:H35 H39:H40 H48:H49" xr:uid="{00000000-0002-0000-1700-000000000000}">
      <formula1>"□,■"</formula1>
    </dataValidation>
  </dataValidations>
  <pageMargins left="0.7" right="0.7" top="0.75" bottom="0.75" header="0.3" footer="0.3"/>
  <pageSetup paperSize="9" scale="96"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K465"/>
  <sheetViews>
    <sheetView showGridLines="0" view="pageBreakPreview" zoomScaleNormal="100" zoomScaleSheetLayoutView="100" workbookViewId="0"/>
  </sheetViews>
  <sheetFormatPr defaultColWidth="9.125" defaultRowHeight="11.25"/>
  <cols>
    <col min="1" max="1" width="1.125" style="318" customWidth="1"/>
    <col min="2" max="2" width="3.375" style="319" customWidth="1"/>
    <col min="3" max="4" width="0.375" style="318" customWidth="1"/>
    <col min="5" max="11" width="2.125" style="318" customWidth="1"/>
    <col min="12" max="13" width="0.375" style="318" customWidth="1"/>
    <col min="14" max="36" width="2.75" style="318" customWidth="1"/>
    <col min="37" max="37" width="0.375" style="318" customWidth="1"/>
    <col min="38" max="256" width="9" style="318" customWidth="1"/>
    <col min="257" max="257" width="1.125" style="318" customWidth="1"/>
    <col min="258" max="258" width="3.375" style="318" customWidth="1"/>
    <col min="259" max="260" width="0.375" style="318" customWidth="1"/>
    <col min="261" max="267" width="2.125" style="318" customWidth="1"/>
    <col min="268" max="269" width="0.375" style="318" customWidth="1"/>
    <col min="270" max="292" width="2.75" style="318" customWidth="1"/>
    <col min="293" max="293" width="0.375" style="318" customWidth="1"/>
    <col min="294" max="512" width="9" style="318" customWidth="1"/>
    <col min="513" max="513" width="1.125" style="318" customWidth="1"/>
    <col min="514" max="514" width="3.375" style="318" customWidth="1"/>
    <col min="515" max="516" width="0.375" style="318" customWidth="1"/>
    <col min="517" max="523" width="2.125" style="318" customWidth="1"/>
    <col min="524" max="525" width="0.375" style="318" customWidth="1"/>
    <col min="526" max="548" width="2.75" style="318" customWidth="1"/>
    <col min="549" max="549" width="0.375" style="318" customWidth="1"/>
    <col min="550" max="768" width="9" style="318" customWidth="1"/>
    <col min="769" max="769" width="1.125" style="318" customWidth="1"/>
    <col min="770" max="770" width="3.375" style="318" customWidth="1"/>
    <col min="771" max="772" width="0.375" style="318" customWidth="1"/>
    <col min="773" max="779" width="2.125" style="318" customWidth="1"/>
    <col min="780" max="781" width="0.375" style="318" customWidth="1"/>
    <col min="782" max="804" width="2.75" style="318" customWidth="1"/>
    <col min="805" max="805" width="0.375" style="318" customWidth="1"/>
    <col min="806" max="1024" width="9" style="318" customWidth="1"/>
    <col min="1025" max="1025" width="1.125" style="318" customWidth="1"/>
    <col min="1026" max="1026" width="3.375" style="318" customWidth="1"/>
    <col min="1027" max="1028" width="0.375" style="318" customWidth="1"/>
    <col min="1029" max="1035" width="2.125" style="318" customWidth="1"/>
    <col min="1036" max="1037" width="0.375" style="318" customWidth="1"/>
    <col min="1038" max="1060" width="2.75" style="318" customWidth="1"/>
    <col min="1061" max="1061" width="0.375" style="318" customWidth="1"/>
    <col min="1062" max="1280" width="9" style="318" customWidth="1"/>
    <col min="1281" max="1281" width="1.125" style="318" customWidth="1"/>
    <col min="1282" max="1282" width="3.375" style="318" customWidth="1"/>
    <col min="1283" max="1284" width="0.375" style="318" customWidth="1"/>
    <col min="1285" max="1291" width="2.125" style="318" customWidth="1"/>
    <col min="1292" max="1293" width="0.375" style="318" customWidth="1"/>
    <col min="1294" max="1316" width="2.75" style="318" customWidth="1"/>
    <col min="1317" max="1317" width="0.375" style="318" customWidth="1"/>
    <col min="1318" max="1536" width="9" style="318" customWidth="1"/>
    <col min="1537" max="1537" width="1.125" style="318" customWidth="1"/>
    <col min="1538" max="1538" width="3.375" style="318" customWidth="1"/>
    <col min="1539" max="1540" width="0.375" style="318" customWidth="1"/>
    <col min="1541" max="1547" width="2.125" style="318" customWidth="1"/>
    <col min="1548" max="1549" width="0.375" style="318" customWidth="1"/>
    <col min="1550" max="1572" width="2.75" style="318" customWidth="1"/>
    <col min="1573" max="1573" width="0.375" style="318" customWidth="1"/>
    <col min="1574" max="1792" width="9" style="318" customWidth="1"/>
    <col min="1793" max="1793" width="1.125" style="318" customWidth="1"/>
    <col min="1794" max="1794" width="3.375" style="318" customWidth="1"/>
    <col min="1795" max="1796" width="0.375" style="318" customWidth="1"/>
    <col min="1797" max="1803" width="2.125" style="318" customWidth="1"/>
    <col min="1804" max="1805" width="0.375" style="318" customWidth="1"/>
    <col min="1806" max="1828" width="2.75" style="318" customWidth="1"/>
    <col min="1829" max="1829" width="0.375" style="318" customWidth="1"/>
    <col min="1830" max="2048" width="9" style="318" customWidth="1"/>
    <col min="2049" max="2049" width="1.125" style="318" customWidth="1"/>
    <col min="2050" max="2050" width="3.375" style="318" customWidth="1"/>
    <col min="2051" max="2052" width="0.375" style="318" customWidth="1"/>
    <col min="2053" max="2059" width="2.125" style="318" customWidth="1"/>
    <col min="2060" max="2061" width="0.375" style="318" customWidth="1"/>
    <col min="2062" max="2084" width="2.75" style="318" customWidth="1"/>
    <col min="2085" max="2085" width="0.375" style="318" customWidth="1"/>
    <col min="2086" max="2304" width="9" style="318" customWidth="1"/>
    <col min="2305" max="2305" width="1.125" style="318" customWidth="1"/>
    <col min="2306" max="2306" width="3.375" style="318" customWidth="1"/>
    <col min="2307" max="2308" width="0.375" style="318" customWidth="1"/>
    <col min="2309" max="2315" width="2.125" style="318" customWidth="1"/>
    <col min="2316" max="2317" width="0.375" style="318" customWidth="1"/>
    <col min="2318" max="2340" width="2.75" style="318" customWidth="1"/>
    <col min="2341" max="2341" width="0.375" style="318" customWidth="1"/>
    <col min="2342" max="2560" width="9" style="318" customWidth="1"/>
    <col min="2561" max="2561" width="1.125" style="318" customWidth="1"/>
    <col min="2562" max="2562" width="3.375" style="318" customWidth="1"/>
    <col min="2563" max="2564" width="0.375" style="318" customWidth="1"/>
    <col min="2565" max="2571" width="2.125" style="318" customWidth="1"/>
    <col min="2572" max="2573" width="0.375" style="318" customWidth="1"/>
    <col min="2574" max="2596" width="2.75" style="318" customWidth="1"/>
    <col min="2597" max="2597" width="0.375" style="318" customWidth="1"/>
    <col min="2598" max="2816" width="9" style="318" customWidth="1"/>
    <col min="2817" max="2817" width="1.125" style="318" customWidth="1"/>
    <col min="2818" max="2818" width="3.375" style="318" customWidth="1"/>
    <col min="2819" max="2820" width="0.375" style="318" customWidth="1"/>
    <col min="2821" max="2827" width="2.125" style="318" customWidth="1"/>
    <col min="2828" max="2829" width="0.375" style="318" customWidth="1"/>
    <col min="2830" max="2852" width="2.75" style="318" customWidth="1"/>
    <col min="2853" max="2853" width="0.375" style="318" customWidth="1"/>
    <col min="2854" max="3072" width="9" style="318" customWidth="1"/>
    <col min="3073" max="3073" width="1.125" style="318" customWidth="1"/>
    <col min="3074" max="3074" width="3.375" style="318" customWidth="1"/>
    <col min="3075" max="3076" width="0.375" style="318" customWidth="1"/>
    <col min="3077" max="3083" width="2.125" style="318" customWidth="1"/>
    <col min="3084" max="3085" width="0.375" style="318" customWidth="1"/>
    <col min="3086" max="3108" width="2.75" style="318" customWidth="1"/>
    <col min="3109" max="3109" width="0.375" style="318" customWidth="1"/>
    <col min="3110" max="3328" width="9" style="318" customWidth="1"/>
    <col min="3329" max="3329" width="1.125" style="318" customWidth="1"/>
    <col min="3330" max="3330" width="3.375" style="318" customWidth="1"/>
    <col min="3331" max="3332" width="0.375" style="318" customWidth="1"/>
    <col min="3333" max="3339" width="2.125" style="318" customWidth="1"/>
    <col min="3340" max="3341" width="0.375" style="318" customWidth="1"/>
    <col min="3342" max="3364" width="2.75" style="318" customWidth="1"/>
    <col min="3365" max="3365" width="0.375" style="318" customWidth="1"/>
    <col min="3366" max="3584" width="9" style="318" customWidth="1"/>
    <col min="3585" max="3585" width="1.125" style="318" customWidth="1"/>
    <col min="3586" max="3586" width="3.375" style="318" customWidth="1"/>
    <col min="3587" max="3588" width="0.375" style="318" customWidth="1"/>
    <col min="3589" max="3595" width="2.125" style="318" customWidth="1"/>
    <col min="3596" max="3597" width="0.375" style="318" customWidth="1"/>
    <col min="3598" max="3620" width="2.75" style="318" customWidth="1"/>
    <col min="3621" max="3621" width="0.375" style="318" customWidth="1"/>
    <col min="3622" max="3840" width="9" style="318" customWidth="1"/>
    <col min="3841" max="3841" width="1.125" style="318" customWidth="1"/>
    <col min="3842" max="3842" width="3.375" style="318" customWidth="1"/>
    <col min="3843" max="3844" width="0.375" style="318" customWidth="1"/>
    <col min="3845" max="3851" width="2.125" style="318" customWidth="1"/>
    <col min="3852" max="3853" width="0.375" style="318" customWidth="1"/>
    <col min="3854" max="3876" width="2.75" style="318" customWidth="1"/>
    <col min="3877" max="3877" width="0.375" style="318" customWidth="1"/>
    <col min="3878" max="4096" width="9" style="318" customWidth="1"/>
    <col min="4097" max="4097" width="1.125" style="318" customWidth="1"/>
    <col min="4098" max="4098" width="3.375" style="318" customWidth="1"/>
    <col min="4099" max="4100" width="0.375" style="318" customWidth="1"/>
    <col min="4101" max="4107" width="2.125" style="318" customWidth="1"/>
    <col min="4108" max="4109" width="0.375" style="318" customWidth="1"/>
    <col min="4110" max="4132" width="2.75" style="318" customWidth="1"/>
    <col min="4133" max="4133" width="0.375" style="318" customWidth="1"/>
    <col min="4134" max="4352" width="9" style="318" customWidth="1"/>
    <col min="4353" max="4353" width="1.125" style="318" customWidth="1"/>
    <col min="4354" max="4354" width="3.375" style="318" customWidth="1"/>
    <col min="4355" max="4356" width="0.375" style="318" customWidth="1"/>
    <col min="4357" max="4363" width="2.125" style="318" customWidth="1"/>
    <col min="4364" max="4365" width="0.375" style="318" customWidth="1"/>
    <col min="4366" max="4388" width="2.75" style="318" customWidth="1"/>
    <col min="4389" max="4389" width="0.375" style="318" customWidth="1"/>
    <col min="4390" max="4608" width="9" style="318" customWidth="1"/>
    <col min="4609" max="4609" width="1.125" style="318" customWidth="1"/>
    <col min="4610" max="4610" width="3.375" style="318" customWidth="1"/>
    <col min="4611" max="4612" width="0.375" style="318" customWidth="1"/>
    <col min="4613" max="4619" width="2.125" style="318" customWidth="1"/>
    <col min="4620" max="4621" width="0.375" style="318" customWidth="1"/>
    <col min="4622" max="4644" width="2.75" style="318" customWidth="1"/>
    <col min="4645" max="4645" width="0.375" style="318" customWidth="1"/>
    <col min="4646" max="4864" width="9" style="318" customWidth="1"/>
    <col min="4865" max="4865" width="1.125" style="318" customWidth="1"/>
    <col min="4866" max="4866" width="3.375" style="318" customWidth="1"/>
    <col min="4867" max="4868" width="0.375" style="318" customWidth="1"/>
    <col min="4869" max="4875" width="2.125" style="318" customWidth="1"/>
    <col min="4876" max="4877" width="0.375" style="318" customWidth="1"/>
    <col min="4878" max="4900" width="2.75" style="318" customWidth="1"/>
    <col min="4901" max="4901" width="0.375" style="318" customWidth="1"/>
    <col min="4902" max="5120" width="9" style="318" customWidth="1"/>
    <col min="5121" max="5121" width="1.125" style="318" customWidth="1"/>
    <col min="5122" max="5122" width="3.375" style="318" customWidth="1"/>
    <col min="5123" max="5124" width="0.375" style="318" customWidth="1"/>
    <col min="5125" max="5131" width="2.125" style="318" customWidth="1"/>
    <col min="5132" max="5133" width="0.375" style="318" customWidth="1"/>
    <col min="5134" max="5156" width="2.75" style="318" customWidth="1"/>
    <col min="5157" max="5157" width="0.375" style="318" customWidth="1"/>
    <col min="5158" max="5376" width="9" style="318" customWidth="1"/>
    <col min="5377" max="5377" width="1.125" style="318" customWidth="1"/>
    <col min="5378" max="5378" width="3.375" style="318" customWidth="1"/>
    <col min="5379" max="5380" width="0.375" style="318" customWidth="1"/>
    <col min="5381" max="5387" width="2.125" style="318" customWidth="1"/>
    <col min="5388" max="5389" width="0.375" style="318" customWidth="1"/>
    <col min="5390" max="5412" width="2.75" style="318" customWidth="1"/>
    <col min="5413" max="5413" width="0.375" style="318" customWidth="1"/>
    <col min="5414" max="5632" width="9" style="318" customWidth="1"/>
    <col min="5633" max="5633" width="1.125" style="318" customWidth="1"/>
    <col min="5634" max="5634" width="3.375" style="318" customWidth="1"/>
    <col min="5635" max="5636" width="0.375" style="318" customWidth="1"/>
    <col min="5637" max="5643" width="2.125" style="318" customWidth="1"/>
    <col min="5644" max="5645" width="0.375" style="318" customWidth="1"/>
    <col min="5646" max="5668" width="2.75" style="318" customWidth="1"/>
    <col min="5669" max="5669" width="0.375" style="318" customWidth="1"/>
    <col min="5670" max="5888" width="9" style="318" customWidth="1"/>
    <col min="5889" max="5889" width="1.125" style="318" customWidth="1"/>
    <col min="5890" max="5890" width="3.375" style="318" customWidth="1"/>
    <col min="5891" max="5892" width="0.375" style="318" customWidth="1"/>
    <col min="5893" max="5899" width="2.125" style="318" customWidth="1"/>
    <col min="5900" max="5901" width="0.375" style="318" customWidth="1"/>
    <col min="5902" max="5924" width="2.75" style="318" customWidth="1"/>
    <col min="5925" max="5925" width="0.375" style="318" customWidth="1"/>
    <col min="5926" max="6144" width="9" style="318" customWidth="1"/>
    <col min="6145" max="6145" width="1.125" style="318" customWidth="1"/>
    <col min="6146" max="6146" width="3.375" style="318" customWidth="1"/>
    <col min="6147" max="6148" width="0.375" style="318" customWidth="1"/>
    <col min="6149" max="6155" width="2.125" style="318" customWidth="1"/>
    <col min="6156" max="6157" width="0.375" style="318" customWidth="1"/>
    <col min="6158" max="6180" width="2.75" style="318" customWidth="1"/>
    <col min="6181" max="6181" width="0.375" style="318" customWidth="1"/>
    <col min="6182" max="6400" width="9" style="318" customWidth="1"/>
    <col min="6401" max="6401" width="1.125" style="318" customWidth="1"/>
    <col min="6402" max="6402" width="3.375" style="318" customWidth="1"/>
    <col min="6403" max="6404" width="0.375" style="318" customWidth="1"/>
    <col min="6405" max="6411" width="2.125" style="318" customWidth="1"/>
    <col min="6412" max="6413" width="0.375" style="318" customWidth="1"/>
    <col min="6414" max="6436" width="2.75" style="318" customWidth="1"/>
    <col min="6437" max="6437" width="0.375" style="318" customWidth="1"/>
    <col min="6438" max="6656" width="9" style="318" customWidth="1"/>
    <col min="6657" max="6657" width="1.125" style="318" customWidth="1"/>
    <col min="6658" max="6658" width="3.375" style="318" customWidth="1"/>
    <col min="6659" max="6660" width="0.375" style="318" customWidth="1"/>
    <col min="6661" max="6667" width="2.125" style="318" customWidth="1"/>
    <col min="6668" max="6669" width="0.375" style="318" customWidth="1"/>
    <col min="6670" max="6692" width="2.75" style="318" customWidth="1"/>
    <col min="6693" max="6693" width="0.375" style="318" customWidth="1"/>
    <col min="6694" max="6912" width="9" style="318" customWidth="1"/>
    <col min="6913" max="6913" width="1.125" style="318" customWidth="1"/>
    <col min="6914" max="6914" width="3.375" style="318" customWidth="1"/>
    <col min="6915" max="6916" width="0.375" style="318" customWidth="1"/>
    <col min="6917" max="6923" width="2.125" style="318" customWidth="1"/>
    <col min="6924" max="6925" width="0.375" style="318" customWidth="1"/>
    <col min="6926" max="6948" width="2.75" style="318" customWidth="1"/>
    <col min="6949" max="6949" width="0.375" style="318" customWidth="1"/>
    <col min="6950" max="7168" width="9" style="318" customWidth="1"/>
    <col min="7169" max="7169" width="1.125" style="318" customWidth="1"/>
    <col min="7170" max="7170" width="3.375" style="318" customWidth="1"/>
    <col min="7171" max="7172" width="0.375" style="318" customWidth="1"/>
    <col min="7173" max="7179" width="2.125" style="318" customWidth="1"/>
    <col min="7180" max="7181" width="0.375" style="318" customWidth="1"/>
    <col min="7182" max="7204" width="2.75" style="318" customWidth="1"/>
    <col min="7205" max="7205" width="0.375" style="318" customWidth="1"/>
    <col min="7206" max="7424" width="9" style="318" customWidth="1"/>
    <col min="7425" max="7425" width="1.125" style="318" customWidth="1"/>
    <col min="7426" max="7426" width="3.375" style="318" customWidth="1"/>
    <col min="7427" max="7428" width="0.375" style="318" customWidth="1"/>
    <col min="7429" max="7435" width="2.125" style="318" customWidth="1"/>
    <col min="7436" max="7437" width="0.375" style="318" customWidth="1"/>
    <col min="7438" max="7460" width="2.75" style="318" customWidth="1"/>
    <col min="7461" max="7461" width="0.375" style="318" customWidth="1"/>
    <col min="7462" max="7680" width="9" style="318" customWidth="1"/>
    <col min="7681" max="7681" width="1.125" style="318" customWidth="1"/>
    <col min="7682" max="7682" width="3.375" style="318" customWidth="1"/>
    <col min="7683" max="7684" width="0.375" style="318" customWidth="1"/>
    <col min="7685" max="7691" width="2.125" style="318" customWidth="1"/>
    <col min="7692" max="7693" width="0.375" style="318" customWidth="1"/>
    <col min="7694" max="7716" width="2.75" style="318" customWidth="1"/>
    <col min="7717" max="7717" width="0.375" style="318" customWidth="1"/>
    <col min="7718" max="7936" width="9" style="318" customWidth="1"/>
    <col min="7937" max="7937" width="1.125" style="318" customWidth="1"/>
    <col min="7938" max="7938" width="3.375" style="318" customWidth="1"/>
    <col min="7939" max="7940" width="0.375" style="318" customWidth="1"/>
    <col min="7941" max="7947" width="2.125" style="318" customWidth="1"/>
    <col min="7948" max="7949" width="0.375" style="318" customWidth="1"/>
    <col min="7950" max="7972" width="2.75" style="318" customWidth="1"/>
    <col min="7973" max="7973" width="0.375" style="318" customWidth="1"/>
    <col min="7974" max="8192" width="9" style="318" customWidth="1"/>
    <col min="8193" max="8193" width="1.125" style="318" customWidth="1"/>
    <col min="8194" max="8194" width="3.375" style="318" customWidth="1"/>
    <col min="8195" max="8196" width="0.375" style="318" customWidth="1"/>
    <col min="8197" max="8203" width="2.125" style="318" customWidth="1"/>
    <col min="8204" max="8205" width="0.375" style="318" customWidth="1"/>
    <col min="8206" max="8228" width="2.75" style="318" customWidth="1"/>
    <col min="8229" max="8229" width="0.375" style="318" customWidth="1"/>
    <col min="8230" max="8448" width="9" style="318" customWidth="1"/>
    <col min="8449" max="8449" width="1.125" style="318" customWidth="1"/>
    <col min="8450" max="8450" width="3.375" style="318" customWidth="1"/>
    <col min="8451" max="8452" width="0.375" style="318" customWidth="1"/>
    <col min="8453" max="8459" width="2.125" style="318" customWidth="1"/>
    <col min="8460" max="8461" width="0.375" style="318" customWidth="1"/>
    <col min="8462" max="8484" width="2.75" style="318" customWidth="1"/>
    <col min="8485" max="8485" width="0.375" style="318" customWidth="1"/>
    <col min="8486" max="8704" width="9" style="318" customWidth="1"/>
    <col min="8705" max="8705" width="1.125" style="318" customWidth="1"/>
    <col min="8706" max="8706" width="3.375" style="318" customWidth="1"/>
    <col min="8707" max="8708" width="0.375" style="318" customWidth="1"/>
    <col min="8709" max="8715" width="2.125" style="318" customWidth="1"/>
    <col min="8716" max="8717" width="0.375" style="318" customWidth="1"/>
    <col min="8718" max="8740" width="2.75" style="318" customWidth="1"/>
    <col min="8741" max="8741" width="0.375" style="318" customWidth="1"/>
    <col min="8742" max="8960" width="9" style="318" customWidth="1"/>
    <col min="8961" max="8961" width="1.125" style="318" customWidth="1"/>
    <col min="8962" max="8962" width="3.375" style="318" customWidth="1"/>
    <col min="8963" max="8964" width="0.375" style="318" customWidth="1"/>
    <col min="8965" max="8971" width="2.125" style="318" customWidth="1"/>
    <col min="8972" max="8973" width="0.375" style="318" customWidth="1"/>
    <col min="8974" max="8996" width="2.75" style="318" customWidth="1"/>
    <col min="8997" max="8997" width="0.375" style="318" customWidth="1"/>
    <col min="8998" max="9216" width="9" style="318" customWidth="1"/>
    <col min="9217" max="9217" width="1.125" style="318" customWidth="1"/>
    <col min="9218" max="9218" width="3.375" style="318" customWidth="1"/>
    <col min="9219" max="9220" width="0.375" style="318" customWidth="1"/>
    <col min="9221" max="9227" width="2.125" style="318" customWidth="1"/>
    <col min="9228" max="9229" width="0.375" style="318" customWidth="1"/>
    <col min="9230" max="9252" width="2.75" style="318" customWidth="1"/>
    <col min="9253" max="9253" width="0.375" style="318" customWidth="1"/>
    <col min="9254" max="9472" width="9" style="318" customWidth="1"/>
    <col min="9473" max="9473" width="1.125" style="318" customWidth="1"/>
    <col min="9474" max="9474" width="3.375" style="318" customWidth="1"/>
    <col min="9475" max="9476" width="0.375" style="318" customWidth="1"/>
    <col min="9477" max="9483" width="2.125" style="318" customWidth="1"/>
    <col min="9484" max="9485" width="0.375" style="318" customWidth="1"/>
    <col min="9486" max="9508" width="2.75" style="318" customWidth="1"/>
    <col min="9509" max="9509" width="0.375" style="318" customWidth="1"/>
    <col min="9510" max="9728" width="9" style="318" customWidth="1"/>
    <col min="9729" max="9729" width="1.125" style="318" customWidth="1"/>
    <col min="9730" max="9730" width="3.375" style="318" customWidth="1"/>
    <col min="9731" max="9732" width="0.375" style="318" customWidth="1"/>
    <col min="9733" max="9739" width="2.125" style="318" customWidth="1"/>
    <col min="9740" max="9741" width="0.375" style="318" customWidth="1"/>
    <col min="9742" max="9764" width="2.75" style="318" customWidth="1"/>
    <col min="9765" max="9765" width="0.375" style="318" customWidth="1"/>
    <col min="9766" max="9984" width="9" style="318" customWidth="1"/>
    <col min="9985" max="9985" width="1.125" style="318" customWidth="1"/>
    <col min="9986" max="9986" width="3.375" style="318" customWidth="1"/>
    <col min="9987" max="9988" width="0.375" style="318" customWidth="1"/>
    <col min="9989" max="9995" width="2.125" style="318" customWidth="1"/>
    <col min="9996" max="9997" width="0.375" style="318" customWidth="1"/>
    <col min="9998" max="10020" width="2.75" style="318" customWidth="1"/>
    <col min="10021" max="10021" width="0.375" style="318" customWidth="1"/>
    <col min="10022" max="10240" width="9" style="318" customWidth="1"/>
    <col min="10241" max="10241" width="1.125" style="318" customWidth="1"/>
    <col min="10242" max="10242" width="3.375" style="318" customWidth="1"/>
    <col min="10243" max="10244" width="0.375" style="318" customWidth="1"/>
    <col min="10245" max="10251" width="2.125" style="318" customWidth="1"/>
    <col min="10252" max="10253" width="0.375" style="318" customWidth="1"/>
    <col min="10254" max="10276" width="2.75" style="318" customWidth="1"/>
    <col min="10277" max="10277" width="0.375" style="318" customWidth="1"/>
    <col min="10278" max="10496" width="9" style="318" customWidth="1"/>
    <col min="10497" max="10497" width="1.125" style="318" customWidth="1"/>
    <col min="10498" max="10498" width="3.375" style="318" customWidth="1"/>
    <col min="10499" max="10500" width="0.375" style="318" customWidth="1"/>
    <col min="10501" max="10507" width="2.125" style="318" customWidth="1"/>
    <col min="10508" max="10509" width="0.375" style="318" customWidth="1"/>
    <col min="10510" max="10532" width="2.75" style="318" customWidth="1"/>
    <col min="10533" max="10533" width="0.375" style="318" customWidth="1"/>
    <col min="10534" max="10752" width="9" style="318" customWidth="1"/>
    <col min="10753" max="10753" width="1.125" style="318" customWidth="1"/>
    <col min="10754" max="10754" width="3.375" style="318" customWidth="1"/>
    <col min="10755" max="10756" width="0.375" style="318" customWidth="1"/>
    <col min="10757" max="10763" width="2.125" style="318" customWidth="1"/>
    <col min="10764" max="10765" width="0.375" style="318" customWidth="1"/>
    <col min="10766" max="10788" width="2.75" style="318" customWidth="1"/>
    <col min="10789" max="10789" width="0.375" style="318" customWidth="1"/>
    <col min="10790" max="11008" width="9" style="318" customWidth="1"/>
    <col min="11009" max="11009" width="1.125" style="318" customWidth="1"/>
    <col min="11010" max="11010" width="3.375" style="318" customWidth="1"/>
    <col min="11011" max="11012" width="0.375" style="318" customWidth="1"/>
    <col min="11013" max="11019" width="2.125" style="318" customWidth="1"/>
    <col min="11020" max="11021" width="0.375" style="318" customWidth="1"/>
    <col min="11022" max="11044" width="2.75" style="318" customWidth="1"/>
    <col min="11045" max="11045" width="0.375" style="318" customWidth="1"/>
    <col min="11046" max="11264" width="9" style="318" customWidth="1"/>
    <col min="11265" max="11265" width="1.125" style="318" customWidth="1"/>
    <col min="11266" max="11266" width="3.375" style="318" customWidth="1"/>
    <col min="11267" max="11268" width="0.375" style="318" customWidth="1"/>
    <col min="11269" max="11275" width="2.125" style="318" customWidth="1"/>
    <col min="11276" max="11277" width="0.375" style="318" customWidth="1"/>
    <col min="11278" max="11300" width="2.75" style="318" customWidth="1"/>
    <col min="11301" max="11301" width="0.375" style="318" customWidth="1"/>
    <col min="11302" max="11520" width="9" style="318" customWidth="1"/>
    <col min="11521" max="11521" width="1.125" style="318" customWidth="1"/>
    <col min="11522" max="11522" width="3.375" style="318" customWidth="1"/>
    <col min="11523" max="11524" width="0.375" style="318" customWidth="1"/>
    <col min="11525" max="11531" width="2.125" style="318" customWidth="1"/>
    <col min="11532" max="11533" width="0.375" style="318" customWidth="1"/>
    <col min="11534" max="11556" width="2.75" style="318" customWidth="1"/>
    <col min="11557" max="11557" width="0.375" style="318" customWidth="1"/>
    <col min="11558" max="11776" width="9" style="318" customWidth="1"/>
    <col min="11777" max="11777" width="1.125" style="318" customWidth="1"/>
    <col min="11778" max="11778" width="3.375" style="318" customWidth="1"/>
    <col min="11779" max="11780" width="0.375" style="318" customWidth="1"/>
    <col min="11781" max="11787" width="2.125" style="318" customWidth="1"/>
    <col min="11788" max="11789" width="0.375" style="318" customWidth="1"/>
    <col min="11790" max="11812" width="2.75" style="318" customWidth="1"/>
    <col min="11813" max="11813" width="0.375" style="318" customWidth="1"/>
    <col min="11814" max="12032" width="9" style="318" customWidth="1"/>
    <col min="12033" max="12033" width="1.125" style="318" customWidth="1"/>
    <col min="12034" max="12034" width="3.375" style="318" customWidth="1"/>
    <col min="12035" max="12036" width="0.375" style="318" customWidth="1"/>
    <col min="12037" max="12043" width="2.125" style="318" customWidth="1"/>
    <col min="12044" max="12045" width="0.375" style="318" customWidth="1"/>
    <col min="12046" max="12068" width="2.75" style="318" customWidth="1"/>
    <col min="12069" max="12069" width="0.375" style="318" customWidth="1"/>
    <col min="12070" max="12288" width="9" style="318" customWidth="1"/>
    <col min="12289" max="12289" width="1.125" style="318" customWidth="1"/>
    <col min="12290" max="12290" width="3.375" style="318" customWidth="1"/>
    <col min="12291" max="12292" width="0.375" style="318" customWidth="1"/>
    <col min="12293" max="12299" width="2.125" style="318" customWidth="1"/>
    <col min="12300" max="12301" width="0.375" style="318" customWidth="1"/>
    <col min="12302" max="12324" width="2.75" style="318" customWidth="1"/>
    <col min="12325" max="12325" width="0.375" style="318" customWidth="1"/>
    <col min="12326" max="12544" width="9" style="318" customWidth="1"/>
    <col min="12545" max="12545" width="1.125" style="318" customWidth="1"/>
    <col min="12546" max="12546" width="3.375" style="318" customWidth="1"/>
    <col min="12547" max="12548" width="0.375" style="318" customWidth="1"/>
    <col min="12549" max="12555" width="2.125" style="318" customWidth="1"/>
    <col min="12556" max="12557" width="0.375" style="318" customWidth="1"/>
    <col min="12558" max="12580" width="2.75" style="318" customWidth="1"/>
    <col min="12581" max="12581" width="0.375" style="318" customWidth="1"/>
    <col min="12582" max="12800" width="9" style="318" customWidth="1"/>
    <col min="12801" max="12801" width="1.125" style="318" customWidth="1"/>
    <col min="12802" max="12802" width="3.375" style="318" customWidth="1"/>
    <col min="12803" max="12804" width="0.375" style="318" customWidth="1"/>
    <col min="12805" max="12811" width="2.125" style="318" customWidth="1"/>
    <col min="12812" max="12813" width="0.375" style="318" customWidth="1"/>
    <col min="12814" max="12836" width="2.75" style="318" customWidth="1"/>
    <col min="12837" max="12837" width="0.375" style="318" customWidth="1"/>
    <col min="12838" max="13056" width="9" style="318" customWidth="1"/>
    <col min="13057" max="13057" width="1.125" style="318" customWidth="1"/>
    <col min="13058" max="13058" width="3.375" style="318" customWidth="1"/>
    <col min="13059" max="13060" width="0.375" style="318" customWidth="1"/>
    <col min="13061" max="13067" width="2.125" style="318" customWidth="1"/>
    <col min="13068" max="13069" width="0.375" style="318" customWidth="1"/>
    <col min="13070" max="13092" width="2.75" style="318" customWidth="1"/>
    <col min="13093" max="13093" width="0.375" style="318" customWidth="1"/>
    <col min="13094" max="13312" width="9" style="318" customWidth="1"/>
    <col min="13313" max="13313" width="1.125" style="318" customWidth="1"/>
    <col min="13314" max="13314" width="3.375" style="318" customWidth="1"/>
    <col min="13315" max="13316" width="0.375" style="318" customWidth="1"/>
    <col min="13317" max="13323" width="2.125" style="318" customWidth="1"/>
    <col min="13324" max="13325" width="0.375" style="318" customWidth="1"/>
    <col min="13326" max="13348" width="2.75" style="318" customWidth="1"/>
    <col min="13349" max="13349" width="0.375" style="318" customWidth="1"/>
    <col min="13350" max="13568" width="9" style="318" customWidth="1"/>
    <col min="13569" max="13569" width="1.125" style="318" customWidth="1"/>
    <col min="13570" max="13570" width="3.375" style="318" customWidth="1"/>
    <col min="13571" max="13572" width="0.375" style="318" customWidth="1"/>
    <col min="13573" max="13579" width="2.125" style="318" customWidth="1"/>
    <col min="13580" max="13581" width="0.375" style="318" customWidth="1"/>
    <col min="13582" max="13604" width="2.75" style="318" customWidth="1"/>
    <col min="13605" max="13605" width="0.375" style="318" customWidth="1"/>
    <col min="13606" max="13824" width="9" style="318" customWidth="1"/>
    <col min="13825" max="13825" width="1.125" style="318" customWidth="1"/>
    <col min="13826" max="13826" width="3.375" style="318" customWidth="1"/>
    <col min="13827" max="13828" width="0.375" style="318" customWidth="1"/>
    <col min="13829" max="13835" width="2.125" style="318" customWidth="1"/>
    <col min="13836" max="13837" width="0.375" style="318" customWidth="1"/>
    <col min="13838" max="13860" width="2.75" style="318" customWidth="1"/>
    <col min="13861" max="13861" width="0.375" style="318" customWidth="1"/>
    <col min="13862" max="14080" width="9" style="318" customWidth="1"/>
    <col min="14081" max="14081" width="1.125" style="318" customWidth="1"/>
    <col min="14082" max="14082" width="3.375" style="318" customWidth="1"/>
    <col min="14083" max="14084" width="0.375" style="318" customWidth="1"/>
    <col min="14085" max="14091" width="2.125" style="318" customWidth="1"/>
    <col min="14092" max="14093" width="0.375" style="318" customWidth="1"/>
    <col min="14094" max="14116" width="2.75" style="318" customWidth="1"/>
    <col min="14117" max="14117" width="0.375" style="318" customWidth="1"/>
    <col min="14118" max="14336" width="9" style="318" customWidth="1"/>
    <col min="14337" max="14337" width="1.125" style="318" customWidth="1"/>
    <col min="14338" max="14338" width="3.375" style="318" customWidth="1"/>
    <col min="14339" max="14340" width="0.375" style="318" customWidth="1"/>
    <col min="14341" max="14347" width="2.125" style="318" customWidth="1"/>
    <col min="14348" max="14349" width="0.375" style="318" customWidth="1"/>
    <col min="14350" max="14372" width="2.75" style="318" customWidth="1"/>
    <col min="14373" max="14373" width="0.375" style="318" customWidth="1"/>
    <col min="14374" max="14592" width="9" style="318" customWidth="1"/>
    <col min="14593" max="14593" width="1.125" style="318" customWidth="1"/>
    <col min="14594" max="14594" width="3.375" style="318" customWidth="1"/>
    <col min="14595" max="14596" width="0.375" style="318" customWidth="1"/>
    <col min="14597" max="14603" width="2.125" style="318" customWidth="1"/>
    <col min="14604" max="14605" width="0.375" style="318" customWidth="1"/>
    <col min="14606" max="14628" width="2.75" style="318" customWidth="1"/>
    <col min="14629" max="14629" width="0.375" style="318" customWidth="1"/>
    <col min="14630" max="14848" width="9" style="318" customWidth="1"/>
    <col min="14849" max="14849" width="1.125" style="318" customWidth="1"/>
    <col min="14850" max="14850" width="3.375" style="318" customWidth="1"/>
    <col min="14851" max="14852" width="0.375" style="318" customWidth="1"/>
    <col min="14853" max="14859" width="2.125" style="318" customWidth="1"/>
    <col min="14860" max="14861" width="0.375" style="318" customWidth="1"/>
    <col min="14862" max="14884" width="2.75" style="318" customWidth="1"/>
    <col min="14885" max="14885" width="0.375" style="318" customWidth="1"/>
    <col min="14886" max="15104" width="9" style="318" customWidth="1"/>
    <col min="15105" max="15105" width="1.125" style="318" customWidth="1"/>
    <col min="15106" max="15106" width="3.375" style="318" customWidth="1"/>
    <col min="15107" max="15108" width="0.375" style="318" customWidth="1"/>
    <col min="15109" max="15115" width="2.125" style="318" customWidth="1"/>
    <col min="15116" max="15117" width="0.375" style="318" customWidth="1"/>
    <col min="15118" max="15140" width="2.75" style="318" customWidth="1"/>
    <col min="15141" max="15141" width="0.375" style="318" customWidth="1"/>
    <col min="15142" max="15360" width="9" style="318" customWidth="1"/>
    <col min="15361" max="15361" width="1.125" style="318" customWidth="1"/>
    <col min="15362" max="15362" width="3.375" style="318" customWidth="1"/>
    <col min="15363" max="15364" width="0.375" style="318" customWidth="1"/>
    <col min="15365" max="15371" width="2.125" style="318" customWidth="1"/>
    <col min="15372" max="15373" width="0.375" style="318" customWidth="1"/>
    <col min="15374" max="15396" width="2.75" style="318" customWidth="1"/>
    <col min="15397" max="15397" width="0.375" style="318" customWidth="1"/>
    <col min="15398" max="15616" width="9" style="318" customWidth="1"/>
    <col min="15617" max="15617" width="1.125" style="318" customWidth="1"/>
    <col min="15618" max="15618" width="3.375" style="318" customWidth="1"/>
    <col min="15619" max="15620" width="0.375" style="318" customWidth="1"/>
    <col min="15621" max="15627" width="2.125" style="318" customWidth="1"/>
    <col min="15628" max="15629" width="0.375" style="318" customWidth="1"/>
    <col min="15630" max="15652" width="2.75" style="318" customWidth="1"/>
    <col min="15653" max="15653" width="0.375" style="318" customWidth="1"/>
    <col min="15654" max="15872" width="9" style="318" customWidth="1"/>
    <col min="15873" max="15873" width="1.125" style="318" customWidth="1"/>
    <col min="15874" max="15874" width="3.375" style="318" customWidth="1"/>
    <col min="15875" max="15876" width="0.375" style="318" customWidth="1"/>
    <col min="15877" max="15883" width="2.125" style="318" customWidth="1"/>
    <col min="15884" max="15885" width="0.375" style="318" customWidth="1"/>
    <col min="15886" max="15908" width="2.75" style="318" customWidth="1"/>
    <col min="15909" max="15909" width="0.375" style="318" customWidth="1"/>
    <col min="15910" max="16128" width="9" style="318" customWidth="1"/>
    <col min="16129" max="16129" width="1.125" style="318" customWidth="1"/>
    <col min="16130" max="16130" width="3.375" style="318" customWidth="1"/>
    <col min="16131" max="16132" width="0.375" style="318" customWidth="1"/>
    <col min="16133" max="16139" width="2.125" style="318" customWidth="1"/>
    <col min="16140" max="16141" width="0.375" style="318" customWidth="1"/>
    <col min="16142" max="16164" width="2.75" style="318" customWidth="1"/>
    <col min="16165" max="16165" width="0.375" style="318" customWidth="1"/>
    <col min="16166" max="16384" width="9" style="318" customWidth="1"/>
  </cols>
  <sheetData>
    <row r="1" spans="2:37" ht="12.75" customHeight="1">
      <c r="B1" s="318"/>
      <c r="AK1" s="319"/>
    </row>
    <row r="2" spans="2:37" ht="10.5" customHeight="1">
      <c r="AD2" s="320"/>
      <c r="AE2" s="320"/>
      <c r="AF2" s="320"/>
      <c r="AG2" s="320"/>
      <c r="AH2" s="320"/>
      <c r="AI2" s="320"/>
      <c r="AJ2" s="320"/>
    </row>
    <row r="3" spans="2:37" ht="10.5" customHeight="1">
      <c r="T3" s="321"/>
    </row>
    <row r="4" spans="2:37" ht="9" customHeight="1">
      <c r="B4" s="322"/>
    </row>
    <row r="5" spans="2:37" ht="15.75" customHeight="1">
      <c r="T5" s="323"/>
      <c r="V5" s="323"/>
      <c r="W5" s="324"/>
      <c r="X5" s="324"/>
      <c r="Y5" s="324"/>
      <c r="Z5" s="324"/>
      <c r="AA5" s="324"/>
      <c r="AC5" s="324"/>
      <c r="AD5" s="324"/>
      <c r="AJ5" s="325"/>
    </row>
    <row r="6" spans="2:37" ht="2.25" customHeight="1">
      <c r="B6" s="322"/>
      <c r="V6" s="323"/>
      <c r="AB6" s="326"/>
      <c r="AC6" s="326"/>
      <c r="AD6" s="326"/>
      <c r="AE6" s="326"/>
      <c r="AF6" s="326"/>
      <c r="AG6" s="326"/>
      <c r="AH6" s="326"/>
      <c r="AI6" s="326"/>
      <c r="AJ6" s="326"/>
    </row>
    <row r="7" spans="2:37" ht="15.75" customHeight="1">
      <c r="V7" s="323"/>
      <c r="W7" s="324"/>
      <c r="X7" s="324"/>
      <c r="Y7" s="324"/>
      <c r="Z7" s="324"/>
      <c r="AA7" s="324"/>
      <c r="AB7" s="324"/>
      <c r="AC7" s="324"/>
      <c r="AD7" s="324"/>
      <c r="AE7" s="324"/>
      <c r="AF7" s="324"/>
      <c r="AG7" s="324"/>
      <c r="AH7" s="324"/>
      <c r="AI7" s="324"/>
    </row>
    <row r="8" spans="2:37" ht="2.25" customHeight="1">
      <c r="B8" s="322"/>
      <c r="V8" s="323"/>
      <c r="AB8" s="326"/>
      <c r="AC8" s="326"/>
      <c r="AD8" s="326"/>
      <c r="AE8" s="326"/>
      <c r="AF8" s="326"/>
      <c r="AG8" s="326"/>
      <c r="AH8" s="326"/>
      <c r="AI8" s="326"/>
      <c r="AJ8" s="326"/>
    </row>
    <row r="9" spans="2:37" ht="15.75" customHeight="1">
      <c r="K9" s="1408" t="s">
        <v>3568</v>
      </c>
      <c r="L9" s="1408"/>
      <c r="M9" s="1408"/>
      <c r="N9" s="1408"/>
      <c r="O9" s="1408"/>
      <c r="P9" s="1408"/>
      <c r="Q9" s="1408"/>
      <c r="R9" s="1408"/>
      <c r="S9" s="1408"/>
      <c r="T9" s="1408"/>
      <c r="U9" s="1408"/>
      <c r="V9" s="1408"/>
      <c r="W9" s="1408"/>
      <c r="X9" s="1408"/>
      <c r="Y9" s="1408"/>
      <c r="Z9" s="1408"/>
      <c r="AA9" s="1408"/>
      <c r="AB9" s="1408"/>
      <c r="AC9" s="1408"/>
      <c r="AD9" s="1408"/>
      <c r="AE9" s="324"/>
      <c r="AF9" s="324"/>
      <c r="AG9" s="324"/>
      <c r="AH9" s="324"/>
      <c r="AI9" s="324"/>
    </row>
    <row r="10" spans="2:37" ht="13.5" customHeight="1">
      <c r="W10" s="324"/>
      <c r="X10" s="324"/>
      <c r="Y10" s="324"/>
      <c r="Z10" s="324"/>
      <c r="AA10" s="324"/>
      <c r="AB10" s="324"/>
      <c r="AC10" s="324"/>
      <c r="AD10" s="324"/>
      <c r="AE10" s="324"/>
      <c r="AF10" s="324"/>
      <c r="AG10" s="324"/>
      <c r="AH10" s="324"/>
      <c r="AI10" s="324"/>
    </row>
    <row r="11" spans="2:37" ht="13.5" customHeight="1">
      <c r="W11" s="324"/>
      <c r="X11" s="324"/>
      <c r="Y11" s="324"/>
      <c r="Z11" s="324"/>
      <c r="AA11" s="324"/>
      <c r="AB11" s="324"/>
      <c r="AC11" s="324"/>
      <c r="AD11" s="324"/>
      <c r="AE11" s="324"/>
      <c r="AF11" s="324"/>
      <c r="AG11" s="324"/>
      <c r="AH11" s="324"/>
      <c r="AI11" s="324"/>
    </row>
    <row r="12" spans="2:37" ht="13.5" customHeight="1">
      <c r="W12" s="324"/>
      <c r="X12" s="324"/>
      <c r="Y12" s="324"/>
      <c r="Z12" s="324"/>
      <c r="AA12" s="324"/>
      <c r="AB12" s="324"/>
      <c r="AC12" s="324"/>
      <c r="AD12" s="324"/>
      <c r="AE12" s="324"/>
      <c r="AF12" s="324"/>
      <c r="AG12" s="324"/>
      <c r="AH12" s="324"/>
      <c r="AI12" s="324"/>
    </row>
    <row r="13" spans="2:37" ht="13.5" customHeight="1">
      <c r="W13" s="324"/>
      <c r="X13" s="324"/>
      <c r="Y13" s="324"/>
      <c r="Z13" s="324"/>
      <c r="AA13" s="324"/>
      <c r="AB13" s="324"/>
      <c r="AC13" s="324"/>
      <c r="AD13" s="324"/>
      <c r="AE13" s="324"/>
      <c r="AF13" s="324"/>
      <c r="AG13" s="324"/>
      <c r="AH13" s="324"/>
    </row>
    <row r="14" spans="2:37" ht="2.25" customHeight="1">
      <c r="B14" s="322"/>
      <c r="V14" s="323"/>
      <c r="AB14" s="326"/>
      <c r="AC14" s="326"/>
      <c r="AD14" s="326"/>
      <c r="AE14" s="326"/>
      <c r="AF14" s="326"/>
      <c r="AG14" s="326"/>
      <c r="AH14" s="326"/>
      <c r="AI14" s="326"/>
      <c r="AJ14" s="326"/>
    </row>
    <row r="15" spans="2:37" ht="12.75" customHeight="1">
      <c r="E15" s="327"/>
      <c r="F15" s="327"/>
      <c r="G15" s="327"/>
      <c r="H15" s="327"/>
      <c r="I15" s="327"/>
      <c r="K15" s="327"/>
      <c r="O15" s="327"/>
      <c r="P15" s="327"/>
      <c r="V15" s="323"/>
    </row>
    <row r="16" spans="2:37" ht="2.25" customHeight="1">
      <c r="B16" s="322"/>
    </row>
    <row r="17" spans="1:37" ht="2.25" customHeight="1">
      <c r="B17" s="322"/>
    </row>
    <row r="18" spans="1:37" ht="12.75" customHeight="1">
      <c r="B18" s="326"/>
      <c r="E18" s="327"/>
      <c r="F18" s="327"/>
      <c r="G18" s="327"/>
      <c r="H18" s="327"/>
      <c r="I18" s="327"/>
      <c r="K18" s="327"/>
      <c r="N18" s="328" t="s">
        <v>3569</v>
      </c>
      <c r="O18" s="327"/>
      <c r="P18" s="327"/>
    </row>
    <row r="19" spans="1:37" ht="2.25" customHeight="1">
      <c r="B19" s="322"/>
    </row>
    <row r="20" spans="1:37" ht="12.75" customHeight="1">
      <c r="B20" s="318"/>
      <c r="N20" s="329" t="s">
        <v>3570</v>
      </c>
      <c r="AK20" s="319"/>
    </row>
    <row r="21" spans="1:37" ht="2.25" customHeight="1">
      <c r="B21" s="322"/>
    </row>
    <row r="22" spans="1:37" ht="12.75" customHeight="1">
      <c r="A22" s="324"/>
      <c r="B22" s="324"/>
      <c r="C22" s="324"/>
      <c r="D22" s="324"/>
      <c r="E22" s="324"/>
      <c r="F22" s="324"/>
      <c r="G22" s="324"/>
      <c r="H22" s="324"/>
      <c r="I22" s="324"/>
      <c r="J22" s="324"/>
      <c r="K22" s="324"/>
      <c r="L22" s="324"/>
      <c r="M22" s="324"/>
      <c r="AK22" s="324"/>
    </row>
    <row r="23" spans="1:37" ht="2.25" customHeight="1">
      <c r="A23" s="324"/>
      <c r="B23" s="324"/>
      <c r="C23" s="324"/>
      <c r="D23" s="324"/>
      <c r="E23" s="324"/>
      <c r="F23" s="324"/>
      <c r="G23" s="324"/>
      <c r="H23" s="324"/>
      <c r="I23" s="324"/>
      <c r="J23" s="324"/>
      <c r="K23" s="324"/>
      <c r="L23" s="324"/>
      <c r="M23" s="324"/>
      <c r="N23" s="330"/>
      <c r="AK23" s="324"/>
    </row>
    <row r="24" spans="1:37" ht="12.75" customHeight="1">
      <c r="A24" s="324"/>
      <c r="B24" s="324"/>
      <c r="C24" s="324"/>
      <c r="D24" s="324"/>
      <c r="E24" s="324"/>
      <c r="F24" s="324"/>
      <c r="G24" s="324"/>
      <c r="H24" s="324"/>
      <c r="I24" s="324"/>
      <c r="J24" s="324"/>
      <c r="K24" s="324"/>
      <c r="L24" s="324"/>
      <c r="M24" s="324"/>
      <c r="AK24" s="324"/>
    </row>
    <row r="25" spans="1:37" ht="2.25" customHeight="1">
      <c r="A25" s="324"/>
      <c r="B25" s="331"/>
      <c r="C25" s="324"/>
      <c r="D25" s="324"/>
      <c r="E25" s="324"/>
      <c r="F25" s="324"/>
      <c r="L25" s="324"/>
      <c r="M25" s="324"/>
      <c r="AK25" s="324"/>
    </row>
    <row r="26" spans="1:37" ht="12.75" customHeight="1">
      <c r="A26" s="324"/>
      <c r="B26" s="332"/>
      <c r="C26" s="332"/>
      <c r="D26" s="332"/>
      <c r="E26" s="332"/>
      <c r="F26" s="332"/>
      <c r="G26" s="332"/>
      <c r="H26" s="332"/>
      <c r="I26" s="332"/>
      <c r="J26" s="332"/>
      <c r="K26" s="332"/>
      <c r="L26" s="324"/>
      <c r="M26" s="324"/>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24"/>
    </row>
    <row r="27" spans="1:37" ht="10.5" customHeight="1">
      <c r="A27" s="324"/>
      <c r="B27" s="332"/>
      <c r="C27" s="324"/>
      <c r="D27" s="324"/>
      <c r="E27" s="332" t="s">
        <v>3571</v>
      </c>
      <c r="F27" s="332"/>
      <c r="G27" s="332"/>
      <c r="H27" s="332"/>
      <c r="I27" s="332"/>
      <c r="J27" s="332"/>
      <c r="K27" s="332"/>
      <c r="L27" s="324"/>
      <c r="M27" s="324"/>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4"/>
    </row>
    <row r="28" spans="1:37" ht="10.5" customHeight="1">
      <c r="A28" s="324"/>
      <c r="B28" s="332"/>
      <c r="C28" s="324"/>
      <c r="D28" s="324"/>
      <c r="E28" s="332"/>
      <c r="F28" s="332"/>
      <c r="G28" s="332"/>
      <c r="H28" s="332"/>
      <c r="I28" s="332"/>
      <c r="J28" s="332"/>
      <c r="K28" s="332"/>
      <c r="L28" s="324"/>
      <c r="M28" s="324"/>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4"/>
    </row>
    <row r="29" spans="1:37" ht="10.5" customHeight="1">
      <c r="A29" s="324"/>
      <c r="B29" s="332"/>
      <c r="C29" s="324"/>
      <c r="D29" s="324"/>
      <c r="E29" s="332" t="s">
        <v>3572</v>
      </c>
      <c r="F29" s="332"/>
      <c r="G29" s="332"/>
      <c r="H29" s="332"/>
      <c r="I29" s="332"/>
      <c r="J29" s="332"/>
      <c r="K29" s="332"/>
      <c r="L29" s="324"/>
      <c r="M29" s="324"/>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4"/>
    </row>
    <row r="30" spans="1:37" ht="10.5" customHeight="1">
      <c r="A30" s="324"/>
      <c r="B30" s="332"/>
      <c r="C30" s="324"/>
      <c r="D30" s="324"/>
      <c r="E30" s="332" t="s">
        <v>3573</v>
      </c>
      <c r="F30" s="332"/>
      <c r="G30" s="332"/>
      <c r="H30" s="332"/>
      <c r="I30" s="332"/>
      <c r="J30" s="332"/>
      <c r="K30" s="332"/>
      <c r="L30" s="324"/>
      <c r="M30" s="324"/>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4"/>
    </row>
    <row r="31" spans="1:37" ht="10.5" customHeight="1">
      <c r="A31" s="324"/>
      <c r="B31" s="332"/>
      <c r="C31" s="324"/>
      <c r="D31" s="324"/>
      <c r="E31" s="332" t="s">
        <v>3574</v>
      </c>
      <c r="F31" s="332"/>
      <c r="G31" s="332"/>
      <c r="H31" s="332"/>
      <c r="I31" s="332"/>
      <c r="J31" s="332"/>
      <c r="K31" s="332"/>
      <c r="L31" s="324"/>
      <c r="M31" s="324"/>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4"/>
    </row>
    <row r="32" spans="1:37" ht="10.5" customHeight="1">
      <c r="A32" s="324"/>
      <c r="B32" s="332"/>
      <c r="C32" s="324"/>
      <c r="D32" s="324"/>
      <c r="E32" s="332"/>
      <c r="F32" s="332"/>
      <c r="G32" s="332"/>
      <c r="H32" s="332"/>
      <c r="I32" s="332"/>
      <c r="J32" s="332"/>
      <c r="K32" s="332"/>
      <c r="L32" s="324"/>
      <c r="M32" s="324"/>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4"/>
    </row>
    <row r="33" spans="1:37" ht="10.5" customHeight="1">
      <c r="A33" s="324"/>
      <c r="B33" s="332"/>
      <c r="C33" s="324"/>
      <c r="D33" s="324"/>
      <c r="E33" s="332"/>
      <c r="F33" s="332"/>
      <c r="G33" s="332"/>
      <c r="H33" s="332"/>
      <c r="I33" s="332"/>
      <c r="J33" s="332"/>
      <c r="K33" s="332"/>
      <c r="L33" s="324"/>
      <c r="M33" s="324"/>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4"/>
    </row>
    <row r="34" spans="1:37" ht="10.5" customHeight="1">
      <c r="A34" s="324"/>
      <c r="B34" s="332"/>
      <c r="C34" s="324"/>
      <c r="D34" s="324"/>
      <c r="E34" s="332" t="s">
        <v>3575</v>
      </c>
      <c r="F34" s="332"/>
      <c r="G34" s="332"/>
      <c r="H34" s="332"/>
      <c r="I34" s="332"/>
      <c r="J34" s="332"/>
      <c r="K34" s="332"/>
      <c r="L34" s="324"/>
      <c r="M34" s="324"/>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4"/>
    </row>
    <row r="35" spans="1:37" ht="10.5" customHeight="1">
      <c r="A35" s="324"/>
      <c r="B35" s="332"/>
      <c r="C35" s="324"/>
      <c r="D35" s="324"/>
      <c r="E35" s="332"/>
      <c r="F35" s="332"/>
      <c r="G35" s="332"/>
      <c r="H35" s="332"/>
      <c r="I35" s="332"/>
      <c r="J35" s="332"/>
      <c r="K35" s="332"/>
      <c r="L35" s="324"/>
      <c r="M35" s="324"/>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4"/>
    </row>
    <row r="36" spans="1:37" ht="10.5" customHeight="1">
      <c r="A36" s="324"/>
      <c r="B36" s="332"/>
      <c r="C36" s="324"/>
      <c r="D36" s="324"/>
      <c r="E36" s="332" t="s">
        <v>3576</v>
      </c>
      <c r="F36" s="332"/>
      <c r="G36" s="332"/>
      <c r="H36" s="332"/>
      <c r="I36" s="332"/>
      <c r="J36" s="332"/>
      <c r="K36" s="332"/>
      <c r="L36" s="324"/>
      <c r="M36" s="324"/>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4"/>
    </row>
    <row r="37" spans="1:37" ht="10.5" customHeight="1">
      <c r="A37" s="324"/>
      <c r="B37" s="332"/>
      <c r="C37" s="324"/>
      <c r="D37" s="324"/>
      <c r="E37" s="332" t="s">
        <v>3577</v>
      </c>
      <c r="F37" s="332"/>
      <c r="G37" s="332"/>
      <c r="H37" s="332"/>
      <c r="I37" s="332"/>
      <c r="J37" s="332"/>
      <c r="K37" s="332"/>
      <c r="L37" s="324"/>
      <c r="M37" s="324"/>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4"/>
    </row>
    <row r="38" spans="1:37" ht="10.5" customHeight="1">
      <c r="A38" s="324"/>
      <c r="B38" s="332"/>
      <c r="C38" s="324"/>
      <c r="D38" s="324"/>
      <c r="E38" s="332" t="s">
        <v>3578</v>
      </c>
      <c r="F38" s="332"/>
      <c r="G38" s="332"/>
      <c r="H38" s="332"/>
      <c r="I38" s="332"/>
      <c r="J38" s="332"/>
      <c r="K38" s="332"/>
      <c r="L38" s="324"/>
      <c r="M38" s="324"/>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4"/>
    </row>
    <row r="39" spans="1:37" ht="10.5" customHeight="1">
      <c r="A39" s="324"/>
      <c r="B39" s="332"/>
      <c r="C39" s="324"/>
      <c r="D39" s="324"/>
      <c r="E39" s="332" t="s">
        <v>3579</v>
      </c>
      <c r="F39" s="332"/>
      <c r="G39" s="332"/>
      <c r="H39" s="332"/>
      <c r="I39" s="332"/>
      <c r="J39" s="332"/>
      <c r="K39" s="332"/>
      <c r="L39" s="324"/>
      <c r="M39" s="324"/>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4"/>
    </row>
    <row r="40" spans="1:37" ht="10.5" customHeight="1">
      <c r="A40" s="324"/>
      <c r="B40" s="332"/>
      <c r="C40" s="324"/>
      <c r="D40" s="324"/>
      <c r="E40" s="332" t="s">
        <v>3580</v>
      </c>
      <c r="F40" s="332"/>
      <c r="G40" s="332"/>
      <c r="H40" s="332"/>
      <c r="I40" s="332"/>
      <c r="J40" s="332"/>
      <c r="K40" s="332"/>
      <c r="L40" s="324"/>
      <c r="M40" s="324"/>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4"/>
    </row>
    <row r="41" spans="1:37" ht="10.5" customHeight="1">
      <c r="A41" s="324"/>
      <c r="B41" s="332"/>
      <c r="C41" s="324"/>
      <c r="D41" s="324"/>
      <c r="E41" s="332" t="s">
        <v>3581</v>
      </c>
      <c r="F41" s="332"/>
      <c r="G41" s="332"/>
      <c r="H41" s="332"/>
      <c r="I41" s="332"/>
      <c r="J41" s="332"/>
      <c r="K41" s="332"/>
      <c r="L41" s="324"/>
      <c r="M41" s="324"/>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4"/>
    </row>
    <row r="42" spans="1:37" ht="10.5" customHeight="1">
      <c r="A42" s="324"/>
      <c r="B42" s="332"/>
      <c r="C42" s="324"/>
      <c r="D42" s="324"/>
      <c r="E42" s="332" t="s">
        <v>3582</v>
      </c>
      <c r="F42" s="332"/>
      <c r="G42" s="332"/>
      <c r="H42" s="332"/>
      <c r="I42" s="332"/>
      <c r="J42" s="332"/>
      <c r="K42" s="332"/>
      <c r="L42" s="324"/>
      <c r="M42" s="324"/>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4"/>
    </row>
    <row r="43" spans="1:37" ht="10.5" customHeight="1">
      <c r="A43" s="324"/>
      <c r="B43" s="332"/>
      <c r="C43" s="324"/>
      <c r="D43" s="324"/>
      <c r="E43" s="332" t="s">
        <v>3583</v>
      </c>
      <c r="F43" s="332"/>
      <c r="G43" s="332"/>
      <c r="H43" s="332"/>
      <c r="I43" s="332"/>
      <c r="J43" s="332"/>
      <c r="K43" s="332"/>
      <c r="L43" s="324"/>
      <c r="M43" s="324"/>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4"/>
    </row>
    <row r="44" spans="1:37" ht="10.5" customHeight="1">
      <c r="A44" s="324"/>
      <c r="B44" s="332"/>
      <c r="C44" s="324"/>
      <c r="D44" s="324"/>
      <c r="E44" s="332"/>
      <c r="F44" s="332"/>
      <c r="G44" s="332"/>
      <c r="H44" s="332"/>
      <c r="I44" s="332"/>
      <c r="J44" s="332"/>
      <c r="K44" s="332"/>
      <c r="L44" s="324"/>
      <c r="M44" s="324"/>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4"/>
    </row>
    <row r="45" spans="1:37" ht="12.75" customHeight="1">
      <c r="A45" s="324"/>
      <c r="B45" s="332"/>
      <c r="C45" s="332"/>
      <c r="D45" s="332"/>
      <c r="E45" s="332" t="s">
        <v>3584</v>
      </c>
      <c r="F45" s="332"/>
      <c r="G45" s="332"/>
      <c r="H45" s="332"/>
      <c r="I45" s="332"/>
      <c r="J45" s="332"/>
      <c r="K45" s="332"/>
      <c r="L45" s="324"/>
      <c r="M45" s="324"/>
      <c r="AK45" s="324"/>
    </row>
    <row r="46" spans="1:37" ht="2.25" customHeight="1">
      <c r="A46" s="324"/>
      <c r="B46" s="332"/>
      <c r="C46" s="324"/>
      <c r="D46" s="324"/>
      <c r="E46" s="332"/>
      <c r="F46" s="332"/>
      <c r="G46" s="332"/>
      <c r="H46" s="332"/>
      <c r="I46" s="332"/>
      <c r="J46" s="332"/>
      <c r="K46" s="332"/>
      <c r="L46" s="324"/>
      <c r="M46" s="324"/>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4"/>
    </row>
    <row r="47" spans="1:37" s="336" customFormat="1" ht="12.6" customHeight="1">
      <c r="A47" s="334"/>
      <c r="B47" s="335"/>
      <c r="C47" s="335"/>
      <c r="D47" s="335"/>
      <c r="E47" s="335" t="s">
        <v>3585</v>
      </c>
      <c r="AK47" s="334"/>
    </row>
    <row r="48" spans="1:37" s="336" customFormat="1" ht="12.6" customHeight="1">
      <c r="A48" s="334"/>
      <c r="B48" s="335"/>
      <c r="C48" s="335"/>
      <c r="D48" s="335"/>
      <c r="E48" s="335" t="s">
        <v>3586</v>
      </c>
      <c r="AK48" s="334"/>
    </row>
    <row r="49" spans="1:37" s="336" customFormat="1" ht="12.6" customHeight="1">
      <c r="A49" s="334"/>
      <c r="B49" s="335"/>
      <c r="C49" s="334"/>
      <c r="D49" s="334"/>
      <c r="E49" s="335"/>
      <c r="AE49" s="337"/>
      <c r="AF49" s="337"/>
      <c r="AG49" s="337"/>
      <c r="AH49" s="337"/>
      <c r="AI49" s="337"/>
      <c r="AJ49" s="337"/>
      <c r="AK49" s="334"/>
    </row>
    <row r="50" spans="1:37" s="336" customFormat="1" ht="12.6" customHeight="1">
      <c r="A50" s="334"/>
      <c r="B50" s="335"/>
      <c r="C50" s="334"/>
      <c r="D50" s="334"/>
      <c r="E50" s="335"/>
      <c r="AE50" s="337"/>
      <c r="AF50" s="337"/>
      <c r="AG50" s="337"/>
      <c r="AH50" s="337"/>
      <c r="AI50" s="337"/>
      <c r="AJ50" s="337"/>
      <c r="AK50" s="334"/>
    </row>
    <row r="51" spans="1:37" s="336" customFormat="1" ht="12.6" customHeight="1">
      <c r="A51" s="334"/>
      <c r="B51" s="335"/>
      <c r="C51" s="334"/>
      <c r="D51" s="334"/>
      <c r="E51" s="335"/>
      <c r="AE51" s="337"/>
      <c r="AF51" s="337"/>
      <c r="AG51" s="337"/>
      <c r="AH51" s="337"/>
      <c r="AI51" s="337"/>
      <c r="AJ51" s="337"/>
      <c r="AK51" s="334"/>
    </row>
    <row r="52" spans="1:37" s="336" customFormat="1" ht="12.6" customHeight="1">
      <c r="A52" s="334"/>
      <c r="B52" s="335"/>
      <c r="C52" s="334"/>
      <c r="D52" s="334"/>
      <c r="E52" s="335"/>
      <c r="AE52" s="337"/>
      <c r="AF52" s="337"/>
      <c r="AG52" s="337"/>
      <c r="AH52" s="337"/>
      <c r="AI52" s="337"/>
      <c r="AJ52" s="337"/>
      <c r="AK52" s="334"/>
    </row>
    <row r="53" spans="1:37" s="336" customFormat="1" ht="12.6" customHeight="1">
      <c r="A53" s="334"/>
      <c r="B53" s="335"/>
      <c r="C53" s="335"/>
      <c r="D53" s="335"/>
      <c r="E53" s="335"/>
      <c r="AK53" s="334"/>
    </row>
    <row r="54" spans="1:37" s="336" customFormat="1" ht="12" customHeight="1">
      <c r="B54" s="338"/>
      <c r="F54" s="339" t="s">
        <v>3587</v>
      </c>
      <c r="G54" s="335"/>
      <c r="H54" s="335"/>
      <c r="I54" s="335"/>
      <c r="J54" s="335"/>
      <c r="K54" s="335"/>
      <c r="L54" s="334"/>
      <c r="M54" s="334"/>
    </row>
    <row r="55" spans="1:37" s="336" customFormat="1" ht="12" customHeight="1">
      <c r="A55" s="334"/>
      <c r="B55" s="334"/>
      <c r="C55" s="334"/>
      <c r="D55" s="334"/>
      <c r="E55" s="334"/>
      <c r="F55" s="339" t="s">
        <v>3588</v>
      </c>
      <c r="G55" s="335"/>
      <c r="H55" s="335"/>
      <c r="I55" s="335"/>
      <c r="J55" s="335"/>
      <c r="K55" s="335"/>
      <c r="L55" s="334"/>
      <c r="M55" s="334"/>
      <c r="Q55" s="339"/>
      <c r="AI55" s="340"/>
      <c r="AK55" s="334"/>
    </row>
    <row r="56" spans="1:37" s="336" customFormat="1" ht="12" customHeight="1">
      <c r="A56" s="334"/>
      <c r="B56" s="334"/>
      <c r="C56" s="334"/>
      <c r="D56" s="334"/>
      <c r="E56" s="334"/>
      <c r="F56" s="339" t="s">
        <v>3589</v>
      </c>
      <c r="G56" s="335"/>
      <c r="H56" s="335"/>
      <c r="I56" s="335"/>
      <c r="J56" s="335"/>
      <c r="K56" s="335"/>
      <c r="L56" s="334"/>
      <c r="M56" s="334"/>
      <c r="N56" s="337"/>
      <c r="O56" s="337"/>
      <c r="P56" s="337"/>
      <c r="Q56" s="339"/>
      <c r="R56" s="337"/>
      <c r="S56" s="337"/>
      <c r="T56" s="337"/>
      <c r="U56" s="337"/>
      <c r="V56" s="337"/>
      <c r="W56" s="337"/>
      <c r="X56" s="337"/>
      <c r="Y56" s="337"/>
      <c r="Z56" s="337"/>
      <c r="AA56" s="337"/>
      <c r="AB56" s="337"/>
      <c r="AC56" s="337"/>
      <c r="AD56" s="337"/>
      <c r="AK56" s="334"/>
    </row>
    <row r="57" spans="1:37" s="336" customFormat="1" ht="12" customHeight="1">
      <c r="A57" s="334"/>
      <c r="B57" s="334"/>
      <c r="C57" s="334"/>
      <c r="D57" s="334"/>
      <c r="E57" s="334"/>
      <c r="F57" s="339" t="s">
        <v>3590</v>
      </c>
      <c r="G57" s="335"/>
      <c r="H57" s="335"/>
      <c r="I57" s="335"/>
      <c r="J57" s="335"/>
      <c r="K57" s="335"/>
      <c r="L57" s="334"/>
      <c r="M57" s="334"/>
      <c r="Q57" s="339"/>
      <c r="AK57" s="334"/>
    </row>
    <row r="58" spans="1:37" s="336" customFormat="1" ht="12" customHeight="1">
      <c r="A58" s="334"/>
      <c r="B58" s="334"/>
      <c r="C58" s="334"/>
      <c r="D58" s="334"/>
      <c r="E58" s="334"/>
      <c r="F58" s="339" t="s">
        <v>3591</v>
      </c>
      <c r="Q58" s="339"/>
      <c r="AK58" s="334"/>
    </row>
    <row r="59" spans="1:37" s="336" customFormat="1" ht="12" customHeight="1">
      <c r="A59" s="334"/>
      <c r="B59" s="334"/>
      <c r="C59" s="334"/>
      <c r="D59" s="334"/>
      <c r="E59" s="334"/>
      <c r="F59" s="339" t="s">
        <v>3592</v>
      </c>
      <c r="G59" s="334"/>
      <c r="H59" s="334"/>
      <c r="I59" s="334"/>
      <c r="J59" s="334"/>
      <c r="K59" s="334"/>
      <c r="L59" s="334"/>
      <c r="M59" s="334"/>
      <c r="N59" s="337"/>
      <c r="R59" s="340"/>
      <c r="S59" s="337"/>
      <c r="T59" s="337"/>
      <c r="U59" s="337"/>
      <c r="V59" s="341"/>
      <c r="AA59" s="337"/>
      <c r="AB59" s="340"/>
      <c r="AC59" s="337"/>
      <c r="AD59" s="337"/>
      <c r="AI59" s="340"/>
      <c r="AK59" s="334"/>
    </row>
    <row r="60" spans="1:37" s="336" customFormat="1" ht="12" customHeight="1">
      <c r="A60" s="334"/>
      <c r="B60" s="334"/>
      <c r="C60" s="334"/>
      <c r="D60" s="334"/>
      <c r="E60" s="334"/>
      <c r="F60" s="339" t="s">
        <v>3593</v>
      </c>
      <c r="G60" s="334"/>
      <c r="H60" s="334"/>
      <c r="I60" s="334"/>
      <c r="J60" s="334"/>
      <c r="K60" s="334"/>
      <c r="L60" s="334"/>
      <c r="M60" s="334"/>
      <c r="AK60" s="334"/>
    </row>
    <row r="61" spans="1:37" s="336" customFormat="1" ht="12" customHeight="1">
      <c r="A61" s="334"/>
      <c r="B61" s="334"/>
      <c r="C61" s="334"/>
      <c r="D61" s="334"/>
      <c r="E61" s="334"/>
      <c r="F61" s="339" t="s">
        <v>3594</v>
      </c>
      <c r="G61" s="334"/>
      <c r="H61" s="334"/>
      <c r="I61" s="334"/>
      <c r="J61" s="334"/>
      <c r="K61" s="334"/>
      <c r="L61" s="334"/>
      <c r="M61" s="334"/>
      <c r="AK61" s="334"/>
    </row>
    <row r="62" spans="1:37" ht="12" customHeight="1">
      <c r="A62" s="324"/>
      <c r="B62" s="324"/>
      <c r="C62" s="324"/>
      <c r="D62" s="324"/>
      <c r="E62" s="324"/>
      <c r="F62" s="339" t="s">
        <v>3595</v>
      </c>
      <c r="G62" s="334"/>
      <c r="H62" s="334"/>
      <c r="I62" s="334"/>
      <c r="J62" s="334"/>
      <c r="K62" s="334"/>
      <c r="L62" s="334"/>
      <c r="M62" s="334"/>
      <c r="N62" s="336"/>
      <c r="O62" s="336"/>
      <c r="P62" s="336"/>
      <c r="Q62" s="336"/>
      <c r="R62" s="336"/>
      <c r="S62" s="336"/>
      <c r="T62" s="336"/>
      <c r="U62" s="336"/>
      <c r="V62" s="336"/>
      <c r="W62" s="336"/>
      <c r="X62" s="336"/>
      <c r="Y62" s="336"/>
      <c r="Z62" s="336"/>
      <c r="AA62" s="336"/>
      <c r="AB62" s="336"/>
      <c r="AC62" s="336"/>
      <c r="AD62" s="336"/>
      <c r="AK62" s="324"/>
    </row>
    <row r="63" spans="1:37" ht="12" customHeight="1">
      <c r="A63" s="324"/>
      <c r="B63" s="324"/>
      <c r="C63" s="324"/>
      <c r="D63" s="324"/>
      <c r="E63" s="324"/>
      <c r="F63" s="339" t="s">
        <v>3596</v>
      </c>
      <c r="G63" s="334"/>
      <c r="H63" s="334"/>
      <c r="I63" s="334"/>
      <c r="J63" s="334"/>
      <c r="K63" s="334"/>
      <c r="L63" s="334"/>
      <c r="M63" s="334"/>
      <c r="N63" s="337"/>
      <c r="O63" s="336"/>
      <c r="P63" s="336"/>
      <c r="Q63" s="336"/>
      <c r="R63" s="340"/>
      <c r="S63" s="337"/>
      <c r="T63" s="337"/>
      <c r="U63" s="342"/>
      <c r="V63" s="336"/>
      <c r="W63" s="336"/>
      <c r="X63" s="336"/>
      <c r="Y63" s="337"/>
      <c r="Z63" s="336"/>
      <c r="AA63" s="336"/>
      <c r="AB63" s="335"/>
      <c r="AC63" s="335"/>
      <c r="AD63" s="337"/>
      <c r="AE63" s="343"/>
      <c r="AF63" s="343"/>
      <c r="AG63" s="343"/>
      <c r="AH63" s="343"/>
      <c r="AI63" s="343"/>
      <c r="AK63" s="324"/>
    </row>
    <row r="64" spans="1:37" ht="12" customHeight="1">
      <c r="A64" s="324"/>
      <c r="B64" s="324"/>
      <c r="C64" s="324"/>
      <c r="D64" s="324"/>
      <c r="E64" s="324"/>
      <c r="F64" s="344" t="s">
        <v>3597</v>
      </c>
      <c r="G64" s="334"/>
      <c r="H64" s="334"/>
      <c r="I64" s="334"/>
      <c r="J64" s="334"/>
      <c r="K64" s="334"/>
      <c r="L64" s="334"/>
      <c r="M64" s="334"/>
      <c r="N64" s="336"/>
      <c r="O64" s="336"/>
      <c r="P64" s="336"/>
      <c r="Q64" s="336"/>
      <c r="R64" s="336"/>
      <c r="S64" s="336"/>
      <c r="T64" s="336"/>
      <c r="U64" s="336"/>
      <c r="V64" s="336"/>
      <c r="W64" s="336"/>
      <c r="X64" s="336"/>
      <c r="Y64" s="336"/>
      <c r="Z64" s="336"/>
      <c r="AA64" s="336"/>
      <c r="AB64" s="336"/>
      <c r="AC64" s="336"/>
      <c r="AD64" s="336"/>
      <c r="AK64" s="324"/>
    </row>
    <row r="65" spans="1:37" ht="12.75" customHeight="1">
      <c r="A65" s="324"/>
      <c r="B65" s="324"/>
      <c r="C65" s="324"/>
      <c r="D65" s="324"/>
      <c r="E65" s="324"/>
      <c r="AE65" s="343"/>
      <c r="AF65" s="343"/>
      <c r="AG65" s="343"/>
      <c r="AH65" s="343"/>
      <c r="AI65" s="343"/>
      <c r="AK65" s="324"/>
    </row>
    <row r="66" spans="1:37" ht="2.25" customHeight="1">
      <c r="A66" s="324"/>
      <c r="B66" s="331"/>
      <c r="C66" s="324"/>
      <c r="D66" s="324"/>
      <c r="E66" s="324"/>
      <c r="AK66" s="324"/>
    </row>
    <row r="67" spans="1:37" ht="12.75" customHeight="1">
      <c r="A67" s="324"/>
      <c r="B67" s="324"/>
      <c r="C67" s="324"/>
      <c r="D67" s="324"/>
      <c r="E67" s="324"/>
      <c r="AE67" s="345"/>
      <c r="AF67" s="345"/>
      <c r="AG67" s="345"/>
      <c r="AH67" s="345"/>
      <c r="AI67" s="345"/>
      <c r="AJ67" s="345"/>
      <c r="AK67" s="324"/>
    </row>
    <row r="68" spans="1:37" ht="2.25" customHeight="1">
      <c r="A68" s="324"/>
      <c r="B68" s="324"/>
      <c r="C68" s="324"/>
      <c r="D68" s="324"/>
      <c r="E68" s="324"/>
      <c r="AE68" s="326"/>
      <c r="AF68" s="326"/>
      <c r="AG68" s="326"/>
      <c r="AH68" s="326"/>
      <c r="AI68" s="326"/>
      <c r="AK68" s="324"/>
    </row>
    <row r="69" spans="1:37" ht="12.75" customHeight="1">
      <c r="A69" s="324"/>
      <c r="B69" s="324"/>
      <c r="C69" s="324"/>
      <c r="D69" s="324"/>
      <c r="E69" s="324"/>
      <c r="AE69" s="345"/>
      <c r="AF69" s="345"/>
      <c r="AG69" s="345"/>
      <c r="AH69" s="345"/>
      <c r="AI69" s="345"/>
      <c r="AK69" s="324"/>
    </row>
    <row r="70" spans="1:37" ht="2.25" customHeight="1">
      <c r="A70" s="324"/>
      <c r="B70" s="324"/>
      <c r="C70" s="324"/>
      <c r="D70" s="324"/>
      <c r="E70" s="324"/>
      <c r="AK70" s="324"/>
    </row>
    <row r="71" spans="1:37" ht="12.75" customHeight="1">
      <c r="A71" s="324"/>
      <c r="B71" s="324"/>
      <c r="C71" s="324"/>
      <c r="D71" s="324"/>
      <c r="E71" s="324"/>
      <c r="AK71" s="324"/>
    </row>
    <row r="72" spans="1:37" ht="2.25" customHeight="1">
      <c r="A72" s="324"/>
      <c r="B72" s="324"/>
      <c r="C72" s="324"/>
      <c r="D72" s="324"/>
      <c r="E72" s="324"/>
      <c r="AK72" s="324"/>
    </row>
    <row r="73" spans="1:37" ht="12.75" customHeight="1">
      <c r="A73" s="324"/>
      <c r="B73" s="324"/>
      <c r="C73" s="324"/>
      <c r="D73" s="324"/>
      <c r="E73" s="324"/>
      <c r="AE73" s="320"/>
      <c r="AF73" s="320"/>
      <c r="AG73" s="320"/>
      <c r="AH73" s="320"/>
      <c r="AI73" s="320"/>
      <c r="AJ73" s="320"/>
      <c r="AK73" s="324"/>
    </row>
    <row r="74" spans="1:37" ht="2.25" customHeight="1">
      <c r="A74" s="324"/>
      <c r="B74" s="324"/>
      <c r="C74" s="324"/>
      <c r="D74" s="324"/>
      <c r="E74" s="324"/>
      <c r="AK74" s="324"/>
    </row>
    <row r="75" spans="1:37" ht="2.25" customHeight="1">
      <c r="B75" s="322"/>
      <c r="E75" s="324"/>
      <c r="F75" s="324"/>
      <c r="G75" s="324"/>
      <c r="H75" s="324"/>
      <c r="I75" s="324"/>
      <c r="J75" s="324"/>
      <c r="K75" s="324"/>
    </row>
    <row r="76" spans="1:37" ht="12.75" customHeight="1">
      <c r="B76" s="318"/>
      <c r="E76" s="324"/>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row>
    <row r="77" spans="1:37" ht="2.25" customHeight="1">
      <c r="B77" s="318"/>
    </row>
    <row r="78" spans="1:37" ht="12.75" customHeight="1">
      <c r="B78" s="318"/>
      <c r="N78" s="345"/>
      <c r="O78" s="345"/>
      <c r="P78" s="345"/>
      <c r="Q78" s="345"/>
      <c r="R78" s="345"/>
      <c r="S78" s="345"/>
      <c r="T78" s="345"/>
      <c r="U78" s="345"/>
      <c r="V78" s="345"/>
      <c r="W78" s="345"/>
      <c r="Y78" s="323"/>
      <c r="Z78" s="345"/>
      <c r="AA78" s="345"/>
      <c r="AB78" s="345"/>
      <c r="AC78" s="345"/>
      <c r="AD78" s="345"/>
      <c r="AE78" s="345"/>
      <c r="AF78" s="345"/>
      <c r="AG78" s="345"/>
      <c r="AH78" s="345"/>
      <c r="AI78" s="345"/>
    </row>
    <row r="79" spans="1:37" ht="2.25" customHeight="1">
      <c r="B79" s="318"/>
    </row>
    <row r="80" spans="1:37" ht="12.75" customHeight="1">
      <c r="B80" s="318"/>
      <c r="O80" s="345"/>
      <c r="P80" s="345"/>
      <c r="Q80" s="345"/>
      <c r="R80" s="345"/>
      <c r="S80" s="345"/>
      <c r="T80" s="345"/>
      <c r="AA80" s="323"/>
      <c r="AB80" s="320"/>
      <c r="AC80" s="320"/>
      <c r="AD80" s="320"/>
      <c r="AE80" s="320"/>
      <c r="AF80" s="320"/>
      <c r="AG80" s="320"/>
      <c r="AH80" s="320"/>
      <c r="AI80" s="320"/>
      <c r="AJ80" s="320"/>
    </row>
    <row r="81" spans="1:37" ht="2.25" customHeight="1"/>
    <row r="82" spans="1:37" ht="12.75" customHeight="1">
      <c r="A82" s="324"/>
      <c r="B82" s="324"/>
      <c r="C82" s="324"/>
      <c r="D82" s="324"/>
      <c r="E82" s="324"/>
      <c r="F82" s="324"/>
      <c r="G82" s="324"/>
      <c r="H82" s="324"/>
      <c r="I82" s="324"/>
      <c r="J82" s="324"/>
      <c r="K82" s="324"/>
      <c r="L82" s="324"/>
      <c r="M82" s="324"/>
      <c r="O82" s="324"/>
      <c r="P82" s="346"/>
      <c r="Q82" s="346"/>
      <c r="R82" s="346"/>
      <c r="S82" s="346"/>
      <c r="T82" s="346"/>
      <c r="U82" s="346"/>
      <c r="W82" s="324"/>
      <c r="X82" s="324"/>
      <c r="Y82" s="324"/>
      <c r="Z82" s="324"/>
      <c r="AA82" s="324"/>
      <c r="AB82" s="347"/>
      <c r="AC82" s="347"/>
      <c r="AD82" s="347"/>
      <c r="AE82" s="347"/>
      <c r="AF82" s="347"/>
      <c r="AH82" s="324"/>
      <c r="AI82" s="324"/>
      <c r="AJ82" s="323"/>
      <c r="AK82" s="324"/>
    </row>
    <row r="83" spans="1:37" ht="2.25" customHeight="1">
      <c r="A83" s="324"/>
      <c r="B83" s="324"/>
      <c r="C83" s="324"/>
      <c r="D83" s="324"/>
      <c r="E83" s="324"/>
      <c r="F83" s="324"/>
      <c r="G83" s="324"/>
      <c r="H83" s="324"/>
      <c r="I83" s="324"/>
      <c r="J83" s="324"/>
      <c r="K83" s="324"/>
      <c r="L83" s="324"/>
      <c r="M83" s="324"/>
      <c r="N83" s="324"/>
      <c r="O83" s="324"/>
      <c r="P83" s="346"/>
      <c r="Q83" s="346"/>
      <c r="R83" s="346"/>
      <c r="S83" s="346"/>
      <c r="T83" s="346"/>
      <c r="U83" s="346"/>
      <c r="V83" s="324"/>
      <c r="W83" s="324"/>
      <c r="X83" s="324"/>
      <c r="Y83" s="324"/>
      <c r="Z83" s="324"/>
      <c r="AA83" s="324"/>
      <c r="AB83" s="324"/>
      <c r="AC83" s="324"/>
      <c r="AD83" s="324"/>
      <c r="AE83" s="324"/>
      <c r="AF83" s="324"/>
      <c r="AG83" s="324"/>
      <c r="AH83" s="324"/>
      <c r="AI83" s="324"/>
      <c r="AJ83" s="324"/>
      <c r="AK83" s="324"/>
    </row>
    <row r="84" spans="1:37" ht="12.75" customHeight="1">
      <c r="A84" s="324"/>
      <c r="B84" s="324"/>
      <c r="C84" s="324"/>
      <c r="D84" s="324"/>
      <c r="E84" s="324"/>
      <c r="F84" s="324"/>
      <c r="G84" s="324"/>
      <c r="H84" s="324"/>
      <c r="I84" s="324"/>
      <c r="J84" s="324"/>
      <c r="K84" s="324"/>
      <c r="L84" s="324"/>
      <c r="M84" s="324"/>
      <c r="N84" s="324"/>
      <c r="O84" s="324"/>
      <c r="P84" s="346"/>
      <c r="Q84" s="346"/>
      <c r="R84" s="346"/>
      <c r="S84" s="346"/>
      <c r="T84" s="346"/>
      <c r="U84" s="346"/>
      <c r="V84" s="324"/>
      <c r="W84" s="324"/>
      <c r="X84" s="324"/>
      <c r="Y84" s="324"/>
      <c r="Z84" s="324"/>
      <c r="AA84" s="324"/>
      <c r="AB84" s="346"/>
      <c r="AC84" s="346"/>
      <c r="AD84" s="346"/>
      <c r="AE84" s="346"/>
      <c r="AF84" s="346"/>
      <c r="AG84" s="324"/>
      <c r="AH84" s="324"/>
      <c r="AI84" s="324"/>
      <c r="AJ84" s="324"/>
      <c r="AK84" s="324"/>
    </row>
    <row r="85" spans="1:37" ht="2.25" customHeight="1"/>
    <row r="86" spans="1:37" ht="18" customHeight="1">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row>
    <row r="87" spans="1:37" ht="2.25" customHeight="1"/>
    <row r="88" spans="1:37" ht="12.75" customHeight="1">
      <c r="B88" s="318"/>
      <c r="N88" s="345"/>
    </row>
    <row r="89" spans="1:37" ht="2.25" customHeight="1">
      <c r="B89" s="318"/>
    </row>
    <row r="90" spans="1:37" ht="12.75" customHeight="1">
      <c r="B90" s="318"/>
      <c r="N90" s="345"/>
    </row>
    <row r="91" spans="1:37" ht="2.25" customHeight="1">
      <c r="B91" s="318"/>
    </row>
    <row r="92" spans="1:37" ht="12.75" customHeight="1">
      <c r="B92" s="318"/>
      <c r="R92" s="345"/>
      <c r="S92" s="345"/>
      <c r="T92" s="345"/>
      <c r="U92" s="345"/>
      <c r="V92" s="345"/>
      <c r="W92" s="345"/>
      <c r="X92" s="345"/>
      <c r="Y92" s="345"/>
      <c r="AB92" s="320"/>
      <c r="AC92" s="320"/>
      <c r="AD92" s="320"/>
      <c r="AE92" s="320"/>
      <c r="AF92" s="320"/>
      <c r="AG92" s="320"/>
      <c r="AH92" s="320"/>
      <c r="AI92" s="320"/>
      <c r="AJ92" s="320"/>
    </row>
    <row r="93" spans="1:37" ht="2.25" customHeight="1"/>
    <row r="94" spans="1:37" ht="12.75" customHeight="1">
      <c r="A94" s="332"/>
      <c r="B94" s="322"/>
      <c r="C94" s="332"/>
      <c r="D94" s="332"/>
      <c r="E94" s="332"/>
      <c r="F94" s="332"/>
      <c r="G94" s="332"/>
      <c r="H94" s="332"/>
      <c r="I94" s="332"/>
      <c r="J94" s="332"/>
      <c r="K94" s="332"/>
      <c r="L94" s="332"/>
      <c r="M94" s="332"/>
      <c r="N94" s="348"/>
      <c r="O94" s="348"/>
      <c r="P94" s="348"/>
      <c r="Q94" s="348"/>
      <c r="R94" s="348"/>
      <c r="S94" s="348"/>
      <c r="T94" s="348"/>
      <c r="U94" s="348"/>
      <c r="V94" s="348"/>
      <c r="W94" s="348"/>
      <c r="X94" s="348"/>
      <c r="Y94" s="348"/>
      <c r="Z94" s="348"/>
      <c r="AA94" s="348"/>
      <c r="AB94" s="348"/>
      <c r="AC94" s="348"/>
      <c r="AD94" s="348"/>
      <c r="AE94" s="348"/>
      <c r="AF94" s="348"/>
      <c r="AG94" s="348"/>
      <c r="AH94" s="348"/>
      <c r="AI94" s="332"/>
      <c r="AJ94" s="349"/>
      <c r="AK94" s="332"/>
    </row>
    <row r="95" spans="1:37" ht="2.25" customHeight="1"/>
    <row r="96" spans="1:37" ht="12.75" customHeight="1">
      <c r="A96" s="324"/>
      <c r="B96" s="324"/>
      <c r="C96" s="324"/>
      <c r="D96" s="324"/>
      <c r="E96" s="324"/>
      <c r="F96" s="324"/>
      <c r="G96" s="324"/>
      <c r="H96" s="324"/>
      <c r="I96" s="324"/>
      <c r="J96" s="324"/>
      <c r="K96" s="324"/>
      <c r="L96" s="324"/>
      <c r="M96" s="324"/>
      <c r="N96" s="345"/>
      <c r="O96" s="345"/>
      <c r="P96" s="345"/>
      <c r="Q96" s="345"/>
      <c r="R96" s="345"/>
      <c r="S96" s="345"/>
      <c r="T96" s="345"/>
      <c r="U96" s="345"/>
      <c r="V96" s="345"/>
      <c r="X96" s="323"/>
      <c r="Y96" s="324"/>
      <c r="Z96" s="324"/>
      <c r="AA96" s="324"/>
      <c r="AB96" s="324"/>
      <c r="AC96" s="324"/>
      <c r="AK96" s="324"/>
    </row>
    <row r="97" spans="1:37" ht="2.25" customHeight="1">
      <c r="A97" s="324"/>
      <c r="B97" s="324"/>
      <c r="C97" s="324"/>
      <c r="D97" s="324"/>
      <c r="E97" s="324"/>
      <c r="F97" s="324"/>
      <c r="G97" s="324"/>
      <c r="H97" s="324"/>
      <c r="I97" s="324"/>
      <c r="J97" s="324"/>
      <c r="K97" s="324"/>
      <c r="L97" s="324"/>
      <c r="M97" s="324"/>
      <c r="W97" s="324"/>
      <c r="X97" s="324"/>
      <c r="Y97" s="324"/>
      <c r="Z97" s="324"/>
      <c r="AA97" s="324"/>
      <c r="AB97" s="324"/>
      <c r="AC97" s="324"/>
      <c r="AK97" s="324"/>
    </row>
    <row r="98" spans="1:37" ht="12.75" customHeight="1">
      <c r="A98" s="324"/>
      <c r="B98" s="324"/>
      <c r="C98" s="324"/>
      <c r="D98" s="324"/>
      <c r="E98" s="324"/>
      <c r="F98" s="324"/>
      <c r="G98" s="324"/>
      <c r="H98" s="324"/>
      <c r="I98" s="324"/>
      <c r="J98" s="324"/>
      <c r="K98" s="324"/>
      <c r="L98" s="324"/>
      <c r="M98" s="324"/>
      <c r="R98" s="345"/>
      <c r="S98" s="345"/>
      <c r="T98" s="345"/>
      <c r="W98" s="324"/>
      <c r="X98" s="323"/>
      <c r="Y98" s="324"/>
      <c r="Z98" s="324"/>
      <c r="AA98" s="324"/>
      <c r="AB98" s="324"/>
      <c r="AC98" s="324"/>
      <c r="AD98" s="345"/>
      <c r="AE98" s="345"/>
      <c r="AF98" s="345"/>
      <c r="AJ98" s="323"/>
      <c r="AK98" s="324"/>
    </row>
    <row r="99" spans="1:37" ht="2.25" customHeight="1">
      <c r="A99" s="324"/>
      <c r="B99" s="331"/>
      <c r="C99" s="324"/>
      <c r="D99" s="324"/>
      <c r="E99" s="324"/>
      <c r="F99" s="324"/>
      <c r="G99" s="324"/>
      <c r="H99" s="324"/>
      <c r="I99" s="324"/>
      <c r="J99" s="324"/>
      <c r="K99" s="324"/>
      <c r="L99" s="324"/>
      <c r="M99" s="324"/>
      <c r="AK99" s="324"/>
    </row>
    <row r="100" spans="1:37" ht="12.75" customHeight="1">
      <c r="A100" s="324"/>
      <c r="B100" s="324"/>
      <c r="C100" s="324"/>
      <c r="D100" s="324"/>
      <c r="E100" s="324"/>
      <c r="F100" s="324"/>
      <c r="G100" s="324"/>
      <c r="H100" s="324"/>
      <c r="I100" s="324"/>
      <c r="J100" s="324"/>
      <c r="K100" s="324"/>
      <c r="L100" s="324"/>
      <c r="M100" s="324"/>
      <c r="N100" s="350"/>
      <c r="O100" s="350"/>
      <c r="P100" s="350"/>
      <c r="Q100" s="350"/>
      <c r="R100" s="350"/>
      <c r="S100" s="350"/>
      <c r="T100" s="350"/>
      <c r="U100" s="350"/>
      <c r="V100" s="350"/>
      <c r="W100" s="350"/>
      <c r="X100" s="350"/>
      <c r="Y100" s="350"/>
      <c r="Z100" s="350"/>
      <c r="AA100" s="350"/>
      <c r="AB100" s="350"/>
      <c r="AC100" s="350"/>
      <c r="AD100" s="350"/>
      <c r="AE100" s="350"/>
      <c r="AF100" s="350"/>
      <c r="AG100" s="350"/>
      <c r="AH100" s="350"/>
      <c r="AI100" s="350"/>
      <c r="AJ100" s="350"/>
      <c r="AK100" s="324"/>
    </row>
    <row r="101" spans="1:37" ht="2.25" customHeight="1">
      <c r="A101" s="324"/>
      <c r="B101" s="324"/>
      <c r="C101" s="324"/>
      <c r="D101" s="324"/>
      <c r="E101" s="324"/>
      <c r="F101" s="324"/>
      <c r="G101" s="324"/>
      <c r="H101" s="324"/>
      <c r="I101" s="324"/>
      <c r="J101" s="324"/>
      <c r="K101" s="324"/>
      <c r="L101" s="324"/>
      <c r="M101" s="324"/>
      <c r="N101" s="350"/>
      <c r="O101" s="350"/>
      <c r="P101" s="350"/>
      <c r="Q101" s="350"/>
      <c r="R101" s="350"/>
      <c r="S101" s="350"/>
      <c r="T101" s="350"/>
      <c r="U101" s="350"/>
      <c r="V101" s="350"/>
      <c r="W101" s="350"/>
      <c r="X101" s="350"/>
      <c r="Y101" s="350"/>
      <c r="Z101" s="350"/>
      <c r="AA101" s="350"/>
      <c r="AB101" s="350"/>
      <c r="AC101" s="350"/>
      <c r="AD101" s="350"/>
      <c r="AE101" s="350"/>
      <c r="AF101" s="350"/>
      <c r="AG101" s="350"/>
      <c r="AH101" s="350"/>
      <c r="AI101" s="350"/>
      <c r="AJ101" s="350"/>
      <c r="AK101" s="324"/>
    </row>
    <row r="102" spans="1:37" ht="12.75" customHeight="1">
      <c r="A102" s="324"/>
      <c r="B102" s="324"/>
      <c r="C102" s="324"/>
      <c r="D102" s="324"/>
      <c r="E102" s="324"/>
      <c r="F102" s="324"/>
      <c r="G102" s="324"/>
      <c r="H102" s="324"/>
      <c r="I102" s="324"/>
      <c r="J102" s="324"/>
      <c r="K102" s="324"/>
      <c r="L102" s="324"/>
      <c r="M102" s="324"/>
      <c r="N102" s="350"/>
      <c r="O102" s="350"/>
      <c r="P102" s="350"/>
      <c r="Q102" s="350"/>
      <c r="R102" s="350"/>
      <c r="S102" s="350"/>
      <c r="T102" s="350"/>
      <c r="U102" s="350"/>
      <c r="V102" s="350"/>
      <c r="W102" s="350"/>
      <c r="X102" s="350"/>
      <c r="Y102" s="350"/>
      <c r="Z102" s="350"/>
      <c r="AA102" s="350"/>
      <c r="AB102" s="350"/>
      <c r="AC102" s="350"/>
      <c r="AD102" s="350"/>
      <c r="AE102" s="350"/>
      <c r="AF102" s="350"/>
      <c r="AG102" s="350"/>
      <c r="AH102" s="350"/>
      <c r="AI102" s="350"/>
      <c r="AJ102" s="350"/>
      <c r="AK102" s="324"/>
    </row>
    <row r="103" spans="1:37" ht="2.25" customHeight="1">
      <c r="A103" s="324"/>
      <c r="B103" s="324"/>
      <c r="C103" s="324"/>
      <c r="D103" s="324"/>
      <c r="E103" s="324"/>
      <c r="F103" s="324"/>
      <c r="G103" s="324"/>
      <c r="H103" s="324"/>
      <c r="I103" s="324"/>
      <c r="J103" s="324"/>
      <c r="K103" s="324"/>
      <c r="L103" s="324"/>
      <c r="M103" s="324"/>
      <c r="AK103" s="324"/>
    </row>
    <row r="104" spans="1:37" ht="12.75" customHeight="1">
      <c r="A104" s="324"/>
      <c r="B104" s="324"/>
      <c r="C104" s="324"/>
      <c r="D104" s="324"/>
      <c r="E104" s="324"/>
      <c r="F104" s="324"/>
      <c r="G104" s="324"/>
      <c r="H104" s="324"/>
      <c r="I104" s="324"/>
      <c r="J104" s="324"/>
      <c r="K104" s="324"/>
      <c r="L104" s="324"/>
      <c r="M104" s="324"/>
      <c r="AF104" s="345"/>
      <c r="AG104" s="345"/>
      <c r="AH104" s="345"/>
      <c r="AK104" s="324"/>
    </row>
    <row r="105" spans="1:37" ht="2.25" customHeight="1">
      <c r="B105" s="322"/>
      <c r="E105" s="324"/>
      <c r="F105" s="324"/>
      <c r="G105" s="324"/>
      <c r="H105" s="324"/>
      <c r="I105" s="324"/>
      <c r="J105" s="324"/>
      <c r="K105" s="324"/>
    </row>
    <row r="106" spans="1:37" ht="12.75" customHeight="1">
      <c r="B106" s="318"/>
      <c r="E106" s="324"/>
      <c r="F106" s="324"/>
      <c r="G106" s="324"/>
      <c r="H106" s="324"/>
      <c r="I106" s="324"/>
      <c r="J106" s="324"/>
      <c r="K106" s="324"/>
      <c r="N106" s="345"/>
      <c r="X106" s="324"/>
      <c r="Y106" s="324"/>
      <c r="Z106" s="324"/>
      <c r="AA106" s="324"/>
      <c r="AB106" s="324"/>
      <c r="AC106" s="324"/>
      <c r="AD106" s="345"/>
    </row>
    <row r="107" spans="1:37" ht="2.25" customHeight="1">
      <c r="B107" s="318"/>
      <c r="E107" s="324"/>
      <c r="F107" s="324"/>
      <c r="G107" s="324"/>
      <c r="H107" s="324"/>
      <c r="I107" s="324"/>
      <c r="J107" s="324"/>
      <c r="K107" s="324"/>
      <c r="W107" s="324"/>
      <c r="X107" s="324"/>
      <c r="Y107" s="324"/>
      <c r="Z107" s="324"/>
      <c r="AA107" s="324"/>
      <c r="AB107" s="324"/>
      <c r="AC107" s="324"/>
    </row>
    <row r="108" spans="1:37" ht="12.75" customHeight="1">
      <c r="B108" s="318"/>
      <c r="E108" s="324"/>
      <c r="F108" s="324"/>
      <c r="G108" s="324"/>
      <c r="H108" s="324"/>
      <c r="I108" s="324"/>
      <c r="J108" s="324"/>
      <c r="K108" s="324"/>
      <c r="N108" s="345"/>
      <c r="Q108" s="323"/>
      <c r="R108" s="345"/>
      <c r="S108" s="345"/>
      <c r="T108" s="345"/>
      <c r="U108" s="345"/>
      <c r="V108" s="345"/>
      <c r="W108" s="345"/>
      <c r="X108" s="324"/>
      <c r="Y108" s="324"/>
      <c r="Z108" s="324"/>
      <c r="AA108" s="324"/>
      <c r="AB108" s="324"/>
      <c r="AC108" s="324"/>
      <c r="AD108" s="345"/>
    </row>
    <row r="109" spans="1:37" ht="2.25" customHeight="1"/>
    <row r="110" spans="1:37" ht="12.75" customHeight="1">
      <c r="B110" s="318"/>
      <c r="E110" s="324"/>
      <c r="N110" s="345"/>
    </row>
    <row r="111" spans="1:37" ht="2.25" customHeight="1">
      <c r="B111" s="318"/>
    </row>
    <row r="112" spans="1:37" ht="12.75" customHeight="1">
      <c r="A112" s="324"/>
      <c r="B112" s="318"/>
      <c r="C112" s="324"/>
      <c r="D112" s="324"/>
      <c r="L112" s="324"/>
      <c r="M112" s="324"/>
      <c r="N112" s="345"/>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row>
    <row r="113" spans="1:37" ht="2.25" customHeight="1">
      <c r="A113" s="324"/>
      <c r="B113" s="318"/>
      <c r="C113" s="324"/>
      <c r="D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row>
    <row r="114" spans="1:37" ht="12.75" customHeight="1">
      <c r="A114" s="324"/>
      <c r="B114" s="318"/>
      <c r="C114" s="324"/>
      <c r="D114" s="324"/>
      <c r="L114" s="324"/>
      <c r="M114" s="324"/>
      <c r="P114" s="324"/>
      <c r="Q114" s="324"/>
      <c r="R114" s="324"/>
      <c r="S114" s="324"/>
      <c r="T114" s="346"/>
      <c r="U114" s="346"/>
      <c r="V114" s="346"/>
      <c r="W114" s="346"/>
      <c r="X114" s="346"/>
      <c r="Y114" s="346"/>
      <c r="Z114" s="346"/>
      <c r="AA114" s="324"/>
      <c r="AB114" s="324"/>
      <c r="AC114" s="324"/>
      <c r="AD114" s="323"/>
      <c r="AE114" s="351"/>
      <c r="AF114" s="351"/>
      <c r="AG114" s="351"/>
      <c r="AH114" s="351"/>
      <c r="AI114" s="351"/>
      <c r="AJ114" s="351"/>
      <c r="AK114" s="324"/>
    </row>
    <row r="115" spans="1:37" ht="2.25" customHeight="1">
      <c r="E115" s="319"/>
      <c r="F115" s="319"/>
      <c r="G115" s="319"/>
      <c r="H115" s="319"/>
      <c r="I115" s="319"/>
      <c r="J115" s="319"/>
      <c r="K115" s="319"/>
    </row>
    <row r="116" spans="1:37" ht="25.5" customHeight="1">
      <c r="A116" s="324"/>
      <c r="B116" s="318"/>
      <c r="C116" s="324"/>
      <c r="D116" s="324"/>
      <c r="E116" s="324"/>
      <c r="F116" s="324"/>
      <c r="G116" s="324"/>
      <c r="H116" s="324"/>
      <c r="I116" s="324"/>
      <c r="J116" s="324"/>
      <c r="K116" s="324"/>
      <c r="L116" s="324"/>
      <c r="M116" s="324"/>
      <c r="O116" s="324"/>
      <c r="P116" s="324"/>
      <c r="Q116" s="346"/>
      <c r="R116" s="346"/>
      <c r="S116" s="346"/>
      <c r="T116" s="346"/>
      <c r="U116" s="346"/>
      <c r="V116" s="346"/>
      <c r="W116" s="346"/>
      <c r="X116" s="346"/>
      <c r="Y116" s="346"/>
      <c r="Z116" s="346"/>
      <c r="AA116" s="346"/>
      <c r="AB116" s="346"/>
      <c r="AC116" s="324"/>
      <c r="AD116" s="323"/>
      <c r="AE116" s="351"/>
      <c r="AF116" s="351"/>
      <c r="AG116" s="351"/>
      <c r="AH116" s="351"/>
      <c r="AI116" s="351"/>
      <c r="AJ116" s="351"/>
      <c r="AK116" s="324"/>
    </row>
    <row r="117" spans="1:37" ht="2.25" customHeight="1">
      <c r="A117" s="324"/>
      <c r="B117" s="318"/>
      <c r="C117" s="324"/>
      <c r="D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4"/>
    </row>
    <row r="118" spans="1:37" ht="9" customHeight="1">
      <c r="A118" s="324"/>
      <c r="B118" s="318"/>
      <c r="C118" s="324"/>
      <c r="D118" s="324"/>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4"/>
    </row>
    <row r="119" spans="1:37" s="336" customFormat="1" ht="12.75" customHeight="1">
      <c r="B119" s="342"/>
    </row>
    <row r="120" spans="1:37" s="336" customFormat="1" ht="12.75" customHeight="1">
      <c r="B120" s="34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row>
    <row r="121" spans="1:37" s="336" customFormat="1" ht="12.75" customHeight="1">
      <c r="B121" s="34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row>
    <row r="122" spans="1:37" s="336" customFormat="1" ht="12.75" customHeight="1">
      <c r="B122" s="34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row>
    <row r="123" spans="1:37" s="336" customFormat="1" ht="9" customHeight="1">
      <c r="B123" s="34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row>
    <row r="124" spans="1:37" s="336" customFormat="1" ht="4.5" customHeight="1">
      <c r="B124" s="342"/>
      <c r="F124" s="353"/>
      <c r="G124" s="353"/>
      <c r="H124" s="35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row>
    <row r="125" spans="1:37" ht="12.75" customHeight="1">
      <c r="B125" s="318"/>
      <c r="AK125" s="319"/>
    </row>
    <row r="126" spans="1:37" ht="10.5" customHeight="1">
      <c r="AD126" s="354"/>
      <c r="AE126" s="354"/>
      <c r="AF126" s="354"/>
      <c r="AG126" s="354"/>
      <c r="AH126" s="354"/>
      <c r="AI126" s="354"/>
      <c r="AJ126" s="354"/>
    </row>
    <row r="127" spans="1:37" ht="10.5" customHeight="1"/>
    <row r="128" spans="1:37" ht="9" customHeight="1">
      <c r="B128" s="322"/>
    </row>
    <row r="129" spans="2:37" ht="15.75" customHeight="1">
      <c r="T129" s="323"/>
      <c r="V129" s="323"/>
      <c r="W129" s="324"/>
      <c r="X129" s="324"/>
      <c r="Y129" s="324"/>
      <c r="Z129" s="324"/>
      <c r="AA129" s="324"/>
      <c r="AC129" s="324"/>
      <c r="AI129" s="324"/>
      <c r="AJ129" s="325"/>
    </row>
    <row r="130" spans="2:37" ht="2.25" customHeight="1">
      <c r="B130" s="322"/>
      <c r="V130" s="323"/>
      <c r="AB130" s="326"/>
      <c r="AC130" s="326"/>
      <c r="AD130" s="326"/>
      <c r="AE130" s="326"/>
      <c r="AF130" s="326"/>
      <c r="AG130" s="326"/>
      <c r="AH130" s="326"/>
      <c r="AI130" s="326"/>
      <c r="AJ130" s="326"/>
    </row>
    <row r="131" spans="2:37" ht="15.75" customHeight="1">
      <c r="V131" s="323"/>
      <c r="W131" s="324"/>
      <c r="X131" s="324"/>
      <c r="Y131" s="324"/>
      <c r="Z131" s="324"/>
      <c r="AA131" s="324"/>
      <c r="AB131" s="324"/>
      <c r="AC131" s="324"/>
      <c r="AD131" s="324"/>
      <c r="AE131" s="324"/>
      <c r="AF131" s="324"/>
      <c r="AG131" s="324"/>
      <c r="AH131" s="324"/>
      <c r="AI131" s="324"/>
    </row>
    <row r="132" spans="2:37" ht="2.25" customHeight="1">
      <c r="B132" s="322"/>
      <c r="V132" s="323"/>
      <c r="AB132" s="326"/>
      <c r="AC132" s="326"/>
      <c r="AD132" s="326"/>
      <c r="AE132" s="326"/>
      <c r="AF132" s="326"/>
      <c r="AG132" s="326"/>
      <c r="AH132" s="326"/>
      <c r="AI132" s="326"/>
      <c r="AJ132" s="326"/>
    </row>
    <row r="133" spans="2:37" ht="15.75" customHeight="1">
      <c r="V133" s="323"/>
      <c r="W133" s="324"/>
      <c r="X133" s="324"/>
      <c r="Y133" s="324"/>
      <c r="Z133" s="324"/>
      <c r="AA133" s="324"/>
      <c r="AB133" s="324"/>
      <c r="AC133" s="324"/>
      <c r="AD133" s="324"/>
      <c r="AE133" s="324"/>
      <c r="AF133" s="324"/>
      <c r="AG133" s="324"/>
      <c r="AH133" s="324"/>
      <c r="AI133" s="324"/>
    </row>
    <row r="134" spans="2:37" ht="13.5" customHeight="1">
      <c r="W134" s="324"/>
      <c r="X134" s="324"/>
      <c r="Y134" s="324"/>
      <c r="Z134" s="324"/>
      <c r="AA134" s="324"/>
      <c r="AB134" s="324"/>
      <c r="AC134" s="324"/>
      <c r="AD134" s="324"/>
      <c r="AE134" s="324"/>
      <c r="AF134" s="324"/>
      <c r="AG134" s="324"/>
      <c r="AH134" s="324"/>
      <c r="AI134" s="324"/>
    </row>
    <row r="135" spans="2:37" ht="13.5" customHeight="1">
      <c r="W135" s="324"/>
      <c r="X135" s="324"/>
      <c r="Y135" s="324"/>
      <c r="Z135" s="324"/>
      <c r="AA135" s="324"/>
      <c r="AB135" s="324"/>
      <c r="AC135" s="324"/>
      <c r="AD135" s="324"/>
      <c r="AE135" s="324"/>
      <c r="AF135" s="324"/>
      <c r="AG135" s="324"/>
      <c r="AH135" s="324"/>
      <c r="AI135" s="324"/>
    </row>
    <row r="136" spans="2:37" ht="13.5" customHeight="1">
      <c r="W136" s="324"/>
      <c r="X136" s="324"/>
      <c r="Y136" s="324"/>
      <c r="Z136" s="324"/>
      <c r="AA136" s="324"/>
      <c r="AB136" s="324"/>
      <c r="AC136" s="324"/>
      <c r="AD136" s="324"/>
      <c r="AE136" s="324"/>
      <c r="AF136" s="324"/>
      <c r="AG136" s="324"/>
      <c r="AH136" s="324"/>
      <c r="AI136" s="324"/>
    </row>
    <row r="137" spans="2:37" ht="13.5" customHeight="1">
      <c r="W137" s="324"/>
      <c r="X137" s="324"/>
      <c r="Y137" s="324"/>
      <c r="Z137" s="324"/>
      <c r="AA137" s="324"/>
      <c r="AB137" s="324"/>
      <c r="AC137" s="324"/>
      <c r="AD137" s="324"/>
      <c r="AE137" s="324"/>
      <c r="AF137" s="324"/>
      <c r="AG137" s="324"/>
      <c r="AH137" s="324"/>
    </row>
    <row r="138" spans="2:37" ht="2.25" customHeight="1">
      <c r="B138" s="322"/>
      <c r="V138" s="323"/>
      <c r="AB138" s="326"/>
      <c r="AC138" s="326"/>
      <c r="AD138" s="326"/>
      <c r="AE138" s="326"/>
      <c r="AF138" s="326"/>
      <c r="AG138" s="326"/>
      <c r="AH138" s="326"/>
      <c r="AI138" s="326"/>
      <c r="AJ138" s="326"/>
    </row>
    <row r="139" spans="2:37" ht="12.75" customHeight="1">
      <c r="E139" s="327"/>
      <c r="F139" s="327"/>
      <c r="G139" s="327"/>
      <c r="H139" s="327"/>
      <c r="I139" s="327"/>
      <c r="K139" s="327"/>
      <c r="O139" s="327"/>
      <c r="P139" s="327"/>
      <c r="V139" s="323"/>
    </row>
    <row r="140" spans="2:37" ht="2.25" customHeight="1">
      <c r="B140" s="322"/>
    </row>
    <row r="141" spans="2:37" ht="2.25" customHeight="1">
      <c r="B141" s="322"/>
    </row>
    <row r="142" spans="2:37" ht="12.75" customHeight="1">
      <c r="B142" s="326"/>
      <c r="E142" s="327"/>
      <c r="F142" s="327"/>
      <c r="G142" s="327"/>
      <c r="H142" s="327"/>
      <c r="I142" s="327"/>
      <c r="K142" s="327"/>
      <c r="O142" s="327"/>
      <c r="P142" s="327"/>
    </row>
    <row r="143" spans="2:37" ht="2.25" customHeight="1">
      <c r="B143" s="322"/>
    </row>
    <row r="144" spans="2:37" ht="12.75" customHeight="1">
      <c r="B144" s="318"/>
      <c r="AK144" s="319"/>
    </row>
    <row r="145" spans="1:37" ht="2.25" customHeight="1">
      <c r="B145" s="322"/>
    </row>
    <row r="146" spans="1:37" ht="12.75" customHeight="1">
      <c r="A146" s="324"/>
      <c r="B146" s="324"/>
      <c r="C146" s="324"/>
      <c r="D146" s="324"/>
      <c r="E146" s="324"/>
      <c r="F146" s="324"/>
      <c r="G146" s="324"/>
      <c r="H146" s="324"/>
      <c r="I146" s="324"/>
      <c r="J146" s="324"/>
      <c r="K146" s="324"/>
      <c r="L146" s="324"/>
      <c r="M146" s="324"/>
      <c r="AK146" s="324"/>
    </row>
    <row r="147" spans="1:37" ht="2.25" customHeight="1">
      <c r="A147" s="324"/>
      <c r="B147" s="324"/>
      <c r="C147" s="324"/>
      <c r="D147" s="324"/>
      <c r="E147" s="324"/>
      <c r="F147" s="324"/>
      <c r="G147" s="324"/>
      <c r="H147" s="324"/>
      <c r="I147" s="324"/>
      <c r="J147" s="324"/>
      <c r="K147" s="324"/>
      <c r="L147" s="324"/>
      <c r="M147" s="324"/>
      <c r="AK147" s="324"/>
    </row>
    <row r="148" spans="1:37" ht="12.75" customHeight="1">
      <c r="A148" s="324"/>
      <c r="B148" s="324"/>
      <c r="C148" s="324"/>
      <c r="D148" s="324"/>
      <c r="E148" s="324"/>
      <c r="F148" s="324"/>
      <c r="G148" s="324"/>
      <c r="H148" s="324"/>
      <c r="I148" s="324"/>
      <c r="J148" s="324"/>
      <c r="K148" s="324"/>
      <c r="L148" s="324"/>
      <c r="M148" s="324"/>
      <c r="AK148" s="324"/>
    </row>
    <row r="149" spans="1:37" ht="2.25" customHeight="1">
      <c r="A149" s="324"/>
      <c r="B149" s="331"/>
      <c r="C149" s="324"/>
      <c r="D149" s="324"/>
      <c r="E149" s="324"/>
      <c r="F149" s="324"/>
      <c r="L149" s="324"/>
      <c r="M149" s="324"/>
      <c r="AK149" s="324"/>
    </row>
    <row r="150" spans="1:37" ht="12.75" customHeight="1">
      <c r="A150" s="324"/>
      <c r="B150" s="332"/>
      <c r="C150" s="332"/>
      <c r="D150" s="332"/>
      <c r="E150" s="332"/>
      <c r="F150" s="332"/>
      <c r="G150" s="332"/>
      <c r="H150" s="332"/>
      <c r="I150" s="332"/>
      <c r="J150" s="332"/>
      <c r="K150" s="332"/>
      <c r="L150" s="324"/>
      <c r="M150" s="324"/>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24"/>
    </row>
    <row r="151" spans="1:37" ht="2.25" customHeight="1">
      <c r="A151" s="324"/>
      <c r="B151" s="332"/>
      <c r="C151" s="324"/>
      <c r="D151" s="324"/>
      <c r="E151" s="332"/>
      <c r="F151" s="332"/>
      <c r="G151" s="332"/>
      <c r="H151" s="332"/>
      <c r="I151" s="332"/>
      <c r="J151" s="332"/>
      <c r="K151" s="332"/>
      <c r="L151" s="324"/>
      <c r="M151" s="324"/>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4"/>
    </row>
    <row r="152" spans="1:37" ht="12.75" customHeight="1">
      <c r="A152" s="324"/>
      <c r="B152" s="332"/>
      <c r="C152" s="332"/>
      <c r="D152" s="332"/>
      <c r="E152" s="332"/>
      <c r="F152" s="332"/>
      <c r="G152" s="332"/>
      <c r="H152" s="332"/>
      <c r="I152" s="332"/>
      <c r="J152" s="332"/>
      <c r="K152" s="332"/>
      <c r="L152" s="324"/>
      <c r="M152" s="324"/>
      <c r="AK152" s="324"/>
    </row>
    <row r="153" spans="1:37" ht="2.25" customHeight="1">
      <c r="A153" s="324"/>
      <c r="B153" s="332"/>
      <c r="C153" s="324"/>
      <c r="D153" s="324"/>
      <c r="E153" s="332"/>
      <c r="F153" s="332"/>
      <c r="G153" s="332"/>
      <c r="H153" s="332"/>
      <c r="I153" s="332"/>
      <c r="J153" s="332"/>
      <c r="K153" s="332"/>
      <c r="L153" s="324"/>
      <c r="M153" s="324"/>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4"/>
    </row>
    <row r="154" spans="1:37" ht="12.75" customHeight="1">
      <c r="A154" s="324"/>
      <c r="B154" s="332"/>
      <c r="C154" s="332"/>
      <c r="D154" s="332"/>
      <c r="E154" s="332"/>
      <c r="F154" s="332"/>
      <c r="G154" s="332"/>
      <c r="H154" s="332"/>
      <c r="I154" s="332"/>
      <c r="J154" s="332"/>
      <c r="K154" s="332"/>
      <c r="L154" s="324"/>
      <c r="M154" s="324"/>
      <c r="AK154" s="324"/>
    </row>
    <row r="155" spans="1:37" ht="2.25" customHeight="1">
      <c r="A155" s="324"/>
      <c r="B155" s="332"/>
      <c r="C155" s="324"/>
      <c r="D155" s="324"/>
      <c r="E155" s="332"/>
      <c r="F155" s="332"/>
      <c r="G155" s="332"/>
      <c r="H155" s="332"/>
      <c r="I155" s="332"/>
      <c r="J155" s="332"/>
      <c r="K155" s="332"/>
      <c r="L155" s="324"/>
      <c r="M155" s="324"/>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4"/>
    </row>
    <row r="156" spans="1:37" ht="12.75" customHeight="1">
      <c r="A156" s="324"/>
      <c r="B156" s="332"/>
      <c r="C156" s="332"/>
      <c r="D156" s="332"/>
      <c r="E156" s="332"/>
      <c r="F156" s="332"/>
      <c r="G156" s="332"/>
      <c r="H156" s="332"/>
      <c r="I156" s="332"/>
      <c r="J156" s="332"/>
      <c r="K156" s="332"/>
      <c r="L156" s="324"/>
      <c r="M156" s="324"/>
      <c r="AK156" s="324"/>
    </row>
    <row r="157" spans="1:37" ht="2.25" customHeight="1">
      <c r="B157" s="322"/>
    </row>
    <row r="158" spans="1:37" ht="12.75" customHeight="1">
      <c r="A158" s="324"/>
      <c r="B158" s="324"/>
      <c r="C158" s="324"/>
      <c r="D158" s="324"/>
      <c r="E158" s="324"/>
      <c r="F158" s="324"/>
      <c r="G158" s="324"/>
      <c r="H158" s="324"/>
      <c r="I158" s="324"/>
      <c r="J158" s="324"/>
      <c r="K158" s="324"/>
      <c r="L158" s="324"/>
      <c r="M158" s="324"/>
      <c r="N158" s="355"/>
      <c r="O158" s="343"/>
      <c r="P158" s="343"/>
      <c r="Q158" s="343"/>
      <c r="R158" s="356"/>
      <c r="S158" s="355"/>
      <c r="T158" s="355"/>
      <c r="U158" s="355"/>
      <c r="V158" s="357"/>
      <c r="W158" s="343"/>
      <c r="X158" s="343"/>
      <c r="Y158" s="343"/>
      <c r="Z158" s="343"/>
      <c r="AA158" s="355"/>
      <c r="AB158" s="356"/>
      <c r="AC158" s="355"/>
      <c r="AD158" s="355"/>
      <c r="AE158" s="343"/>
      <c r="AF158" s="343"/>
      <c r="AG158" s="343"/>
      <c r="AH158" s="343"/>
      <c r="AI158" s="356"/>
      <c r="AK158" s="324"/>
    </row>
    <row r="159" spans="1:37" ht="2.25" customHeight="1">
      <c r="A159" s="324"/>
      <c r="B159" s="324"/>
      <c r="C159" s="324"/>
      <c r="D159" s="324"/>
      <c r="E159" s="324"/>
      <c r="F159" s="324"/>
      <c r="G159" s="324"/>
      <c r="H159" s="324"/>
      <c r="I159" s="324"/>
      <c r="J159" s="324"/>
      <c r="K159" s="324"/>
      <c r="L159" s="324"/>
      <c r="M159" s="324"/>
      <c r="AK159" s="324"/>
    </row>
    <row r="160" spans="1:37" ht="12.75" customHeight="1">
      <c r="A160" s="324"/>
      <c r="B160" s="324"/>
      <c r="C160" s="324"/>
      <c r="D160" s="324"/>
      <c r="E160" s="324"/>
      <c r="F160" s="324"/>
      <c r="G160" s="324"/>
      <c r="H160" s="324"/>
      <c r="I160" s="324"/>
      <c r="J160" s="324"/>
      <c r="K160" s="324"/>
      <c r="L160" s="324"/>
      <c r="M160" s="324"/>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3"/>
      <c r="AI160" s="343"/>
      <c r="AK160" s="324"/>
    </row>
    <row r="161" spans="1:37" ht="1.5" customHeight="1">
      <c r="A161" s="324"/>
      <c r="B161" s="324"/>
      <c r="C161" s="324"/>
      <c r="D161" s="324"/>
      <c r="E161" s="324"/>
      <c r="F161" s="324"/>
      <c r="G161" s="324"/>
      <c r="H161" s="324"/>
      <c r="I161" s="324"/>
      <c r="J161" s="324"/>
      <c r="K161" s="324"/>
      <c r="L161" s="324"/>
      <c r="M161" s="324"/>
      <c r="AK161" s="324"/>
    </row>
    <row r="162" spans="1:37" ht="12.75" customHeight="1">
      <c r="A162" s="324"/>
      <c r="B162" s="324"/>
      <c r="C162" s="324"/>
      <c r="D162" s="324"/>
      <c r="E162" s="324"/>
      <c r="F162" s="324"/>
      <c r="G162" s="324"/>
      <c r="H162" s="324"/>
      <c r="I162" s="324"/>
      <c r="J162" s="324"/>
      <c r="K162" s="324"/>
      <c r="L162" s="324"/>
      <c r="M162" s="324"/>
      <c r="N162" s="355"/>
      <c r="O162" s="355"/>
      <c r="P162" s="355"/>
      <c r="Q162" s="355"/>
      <c r="R162" s="356"/>
      <c r="S162" s="355"/>
      <c r="T162" s="355"/>
      <c r="U162" s="355"/>
      <c r="V162" s="355"/>
      <c r="W162" s="355"/>
      <c r="X162" s="355"/>
      <c r="Y162" s="355"/>
      <c r="Z162" s="355"/>
      <c r="AA162" s="355"/>
      <c r="AB162" s="356"/>
      <c r="AC162" s="356"/>
      <c r="AD162" s="355"/>
      <c r="AE162" s="355"/>
      <c r="AF162" s="355"/>
      <c r="AG162" s="355"/>
      <c r="AH162" s="355"/>
      <c r="AI162" s="356"/>
      <c r="AK162" s="324"/>
    </row>
    <row r="163" spans="1:37" ht="1.5" customHeight="1">
      <c r="A163" s="324"/>
      <c r="B163" s="324"/>
      <c r="C163" s="324"/>
      <c r="D163" s="324"/>
      <c r="E163" s="324"/>
      <c r="F163" s="324"/>
      <c r="G163" s="324"/>
      <c r="H163" s="324"/>
      <c r="I163" s="324"/>
      <c r="J163" s="324"/>
      <c r="K163" s="324"/>
      <c r="L163" s="324"/>
      <c r="M163" s="324"/>
      <c r="AK163" s="324"/>
    </row>
    <row r="164" spans="1:37" ht="12.75" customHeight="1">
      <c r="A164" s="324"/>
      <c r="B164" s="324"/>
      <c r="C164" s="324"/>
      <c r="D164" s="324"/>
      <c r="E164" s="324"/>
      <c r="F164" s="324"/>
      <c r="G164" s="324"/>
      <c r="H164" s="324"/>
      <c r="I164" s="324"/>
      <c r="J164" s="324"/>
      <c r="K164" s="324"/>
      <c r="L164" s="324"/>
      <c r="M164" s="324"/>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K164" s="324"/>
    </row>
    <row r="165" spans="1:37" ht="1.5" customHeight="1">
      <c r="A165" s="324"/>
      <c r="B165" s="324"/>
      <c r="C165" s="324"/>
      <c r="D165" s="324"/>
      <c r="E165" s="324"/>
      <c r="F165" s="324"/>
      <c r="G165" s="324"/>
      <c r="H165" s="324"/>
      <c r="I165" s="324"/>
      <c r="J165" s="324"/>
      <c r="K165" s="324"/>
      <c r="L165" s="324"/>
      <c r="M165" s="324"/>
      <c r="AK165" s="324"/>
    </row>
    <row r="166" spans="1:37" ht="12.75" customHeight="1">
      <c r="A166" s="324"/>
      <c r="B166" s="324"/>
      <c r="C166" s="324"/>
      <c r="D166" s="324"/>
      <c r="E166" s="324"/>
      <c r="F166" s="324"/>
      <c r="G166" s="324"/>
      <c r="H166" s="324"/>
      <c r="I166" s="324"/>
      <c r="J166" s="324"/>
      <c r="K166" s="324"/>
      <c r="L166" s="324"/>
      <c r="M166" s="324"/>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K166" s="324"/>
    </row>
    <row r="167" spans="1:37" ht="1.5" customHeight="1">
      <c r="A167" s="324"/>
      <c r="B167" s="324"/>
      <c r="C167" s="324"/>
      <c r="D167" s="324"/>
      <c r="E167" s="324"/>
      <c r="F167" s="324"/>
      <c r="G167" s="324"/>
      <c r="H167" s="324"/>
      <c r="I167" s="324"/>
      <c r="J167" s="324"/>
      <c r="K167" s="324"/>
      <c r="L167" s="324"/>
      <c r="M167" s="324"/>
      <c r="AK167" s="324"/>
    </row>
    <row r="168" spans="1:37" ht="12.75" customHeight="1">
      <c r="A168" s="324"/>
      <c r="B168" s="324"/>
      <c r="C168" s="324"/>
      <c r="D168" s="324"/>
      <c r="E168" s="324"/>
      <c r="F168" s="324"/>
      <c r="G168" s="324"/>
      <c r="H168" s="324"/>
      <c r="I168" s="324"/>
      <c r="J168" s="324"/>
      <c r="K168" s="324"/>
      <c r="L168" s="324"/>
      <c r="M168" s="324"/>
      <c r="N168" s="343"/>
      <c r="O168" s="343"/>
      <c r="P168" s="343"/>
      <c r="Q168" s="343"/>
      <c r="R168" s="343"/>
      <c r="S168" s="343"/>
      <c r="T168" s="343"/>
      <c r="U168" s="343"/>
      <c r="V168" s="343"/>
      <c r="W168" s="343"/>
      <c r="X168" s="343"/>
      <c r="Y168" s="343"/>
      <c r="Z168" s="343"/>
      <c r="AA168" s="343"/>
      <c r="AB168" s="343"/>
      <c r="AC168" s="343"/>
      <c r="AD168" s="343"/>
      <c r="AE168" s="343"/>
      <c r="AF168" s="343"/>
      <c r="AG168" s="343"/>
      <c r="AH168" s="343"/>
      <c r="AI168" s="343"/>
      <c r="AK168" s="324"/>
    </row>
    <row r="169" spans="1:37" ht="2.25" customHeight="1">
      <c r="A169" s="324"/>
      <c r="B169" s="331"/>
      <c r="C169" s="324"/>
      <c r="D169" s="324"/>
      <c r="E169" s="324"/>
      <c r="F169" s="324"/>
      <c r="G169" s="324"/>
      <c r="H169" s="324"/>
      <c r="I169" s="324"/>
      <c r="L169" s="324"/>
      <c r="M169" s="324"/>
      <c r="AK169" s="324"/>
    </row>
    <row r="170" spans="1:37" ht="12.75" customHeight="1">
      <c r="A170" s="324"/>
      <c r="B170" s="324"/>
      <c r="C170" s="324"/>
      <c r="D170" s="324"/>
      <c r="E170" s="324"/>
      <c r="F170" s="324"/>
      <c r="G170" s="324"/>
      <c r="H170" s="324"/>
      <c r="I170" s="324"/>
      <c r="J170" s="324"/>
      <c r="K170" s="324"/>
      <c r="L170" s="324"/>
      <c r="M170" s="324"/>
      <c r="AK170" s="324"/>
    </row>
    <row r="171" spans="1:37" ht="2.25" customHeight="1">
      <c r="A171" s="324"/>
      <c r="B171" s="324"/>
      <c r="C171" s="324"/>
      <c r="D171" s="324"/>
      <c r="E171" s="324"/>
      <c r="F171" s="324"/>
      <c r="G171" s="324"/>
      <c r="H171" s="324"/>
      <c r="I171" s="324"/>
      <c r="J171" s="324"/>
      <c r="K171" s="324"/>
      <c r="L171" s="324"/>
      <c r="M171" s="324"/>
      <c r="AK171" s="324"/>
    </row>
    <row r="172" spans="1:37" ht="12.75" customHeight="1">
      <c r="A172" s="324"/>
      <c r="B172" s="324"/>
      <c r="C172" s="324"/>
      <c r="D172" s="324"/>
      <c r="E172" s="324"/>
      <c r="F172" s="324"/>
      <c r="G172" s="324"/>
      <c r="H172" s="324"/>
      <c r="I172" s="324"/>
      <c r="J172" s="324"/>
      <c r="K172" s="324"/>
      <c r="L172" s="324"/>
      <c r="M172" s="324"/>
      <c r="Y172" s="323"/>
      <c r="AK172" s="324"/>
    </row>
    <row r="173" spans="1:37" ht="2.25" customHeight="1">
      <c r="A173" s="324"/>
      <c r="B173" s="324"/>
      <c r="C173" s="324"/>
      <c r="D173" s="324"/>
      <c r="E173" s="324"/>
      <c r="F173" s="324"/>
      <c r="G173" s="324"/>
      <c r="H173" s="324"/>
      <c r="I173" s="324"/>
      <c r="J173" s="324"/>
      <c r="K173" s="324"/>
      <c r="L173" s="324"/>
      <c r="M173" s="324"/>
      <c r="AK173" s="324"/>
    </row>
    <row r="174" spans="1:37" ht="12.75" customHeight="1">
      <c r="A174" s="324"/>
      <c r="B174" s="324"/>
      <c r="C174" s="324"/>
      <c r="D174" s="324"/>
      <c r="E174" s="324"/>
      <c r="F174" s="324"/>
      <c r="G174" s="324"/>
      <c r="H174" s="324"/>
      <c r="I174" s="324"/>
      <c r="J174" s="324"/>
      <c r="K174" s="324"/>
      <c r="L174" s="324"/>
      <c r="M174" s="324"/>
      <c r="AK174" s="324"/>
    </row>
    <row r="175" spans="1:37" ht="2.25" customHeight="1">
      <c r="A175" s="324"/>
      <c r="B175" s="324"/>
      <c r="C175" s="324"/>
      <c r="D175" s="324"/>
      <c r="E175" s="324"/>
      <c r="F175" s="324"/>
      <c r="G175" s="324"/>
      <c r="H175" s="324"/>
      <c r="I175" s="324"/>
      <c r="J175" s="324"/>
      <c r="K175" s="324"/>
      <c r="L175" s="324"/>
      <c r="M175" s="324"/>
      <c r="AK175" s="324"/>
    </row>
    <row r="176" spans="1:37" ht="12.75" customHeight="1">
      <c r="A176" s="324"/>
      <c r="B176" s="324"/>
      <c r="C176" s="324"/>
      <c r="D176" s="324"/>
      <c r="E176" s="324"/>
      <c r="F176" s="324"/>
      <c r="G176" s="324"/>
      <c r="H176" s="324"/>
      <c r="I176" s="324"/>
      <c r="J176" s="324"/>
      <c r="K176" s="324"/>
      <c r="L176" s="324"/>
      <c r="M176" s="324"/>
      <c r="AA176" s="323"/>
      <c r="AB176" s="354"/>
      <c r="AC176" s="354"/>
      <c r="AD176" s="354"/>
      <c r="AE176" s="354"/>
      <c r="AF176" s="354"/>
      <c r="AG176" s="354"/>
      <c r="AH176" s="354"/>
      <c r="AI176" s="354"/>
      <c r="AJ176" s="354"/>
      <c r="AK176" s="324"/>
    </row>
    <row r="177" spans="1:37" ht="2.25" customHeight="1">
      <c r="A177" s="324"/>
      <c r="B177" s="324"/>
      <c r="C177" s="324"/>
      <c r="D177" s="324"/>
      <c r="E177" s="324"/>
      <c r="F177" s="324"/>
      <c r="G177" s="324"/>
      <c r="H177" s="324"/>
      <c r="I177" s="324"/>
      <c r="J177" s="324"/>
      <c r="K177" s="324"/>
      <c r="L177" s="324"/>
      <c r="M177" s="324"/>
      <c r="AK177" s="324"/>
    </row>
    <row r="178" spans="1:37" ht="2.25" customHeight="1">
      <c r="B178" s="322"/>
      <c r="E178" s="324"/>
      <c r="F178" s="324"/>
      <c r="G178" s="324"/>
      <c r="H178" s="324"/>
      <c r="I178" s="324"/>
      <c r="J178" s="324"/>
      <c r="K178" s="324"/>
    </row>
    <row r="179" spans="1:37" ht="12.75" customHeight="1">
      <c r="B179" s="318"/>
      <c r="E179" s="324"/>
    </row>
    <row r="180" spans="1:37" ht="2.25" customHeight="1">
      <c r="B180" s="318"/>
    </row>
    <row r="181" spans="1:37" ht="12.75" customHeight="1">
      <c r="B181" s="318"/>
      <c r="Y181" s="323"/>
    </row>
    <row r="182" spans="1:37" ht="2.25" customHeight="1">
      <c r="B182" s="318"/>
    </row>
    <row r="183" spans="1:37" ht="12.75" customHeight="1">
      <c r="B183" s="318"/>
      <c r="AA183" s="323"/>
      <c r="AB183" s="354"/>
      <c r="AC183" s="354"/>
      <c r="AD183" s="354"/>
      <c r="AE183" s="354"/>
      <c r="AF183" s="354"/>
      <c r="AG183" s="354"/>
      <c r="AH183" s="354"/>
      <c r="AI183" s="354"/>
      <c r="AJ183" s="354"/>
    </row>
    <row r="184" spans="1:37" ht="2.25" customHeight="1"/>
    <row r="185" spans="1:37" ht="12.75" customHeight="1">
      <c r="A185" s="324"/>
      <c r="B185" s="324"/>
      <c r="C185" s="324"/>
      <c r="D185" s="324"/>
      <c r="E185" s="324"/>
      <c r="F185" s="324"/>
      <c r="G185" s="324"/>
      <c r="H185" s="324"/>
      <c r="I185" s="324"/>
      <c r="J185" s="324"/>
      <c r="K185" s="324"/>
      <c r="L185" s="324"/>
      <c r="M185" s="324"/>
      <c r="O185" s="324"/>
      <c r="P185" s="325"/>
      <c r="Q185" s="325"/>
      <c r="R185" s="325"/>
      <c r="S185" s="325"/>
      <c r="T185" s="325"/>
      <c r="U185" s="325"/>
      <c r="W185" s="324"/>
      <c r="X185" s="324"/>
      <c r="Y185" s="324"/>
      <c r="Z185" s="324"/>
      <c r="AA185" s="324"/>
      <c r="AB185" s="324"/>
      <c r="AC185" s="324"/>
      <c r="AD185" s="324"/>
      <c r="AE185" s="324"/>
      <c r="AF185" s="324"/>
      <c r="AH185" s="324"/>
      <c r="AI185" s="324"/>
      <c r="AJ185" s="323"/>
      <c r="AK185" s="324"/>
    </row>
    <row r="186" spans="1:37" ht="2.25" customHeight="1">
      <c r="A186" s="324"/>
      <c r="B186" s="324"/>
      <c r="C186" s="324"/>
      <c r="D186" s="324"/>
      <c r="E186" s="324"/>
      <c r="F186" s="324"/>
      <c r="G186" s="324"/>
      <c r="H186" s="324"/>
      <c r="I186" s="324"/>
      <c r="J186" s="324"/>
      <c r="K186" s="324"/>
      <c r="L186" s="324"/>
      <c r="M186" s="324"/>
      <c r="N186" s="324"/>
      <c r="O186" s="324"/>
      <c r="P186" s="325"/>
      <c r="Q186" s="325"/>
      <c r="R186" s="325"/>
      <c r="S186" s="325"/>
      <c r="T186" s="325"/>
      <c r="U186" s="325"/>
      <c r="V186" s="324"/>
      <c r="W186" s="324"/>
      <c r="X186" s="324"/>
      <c r="Y186" s="324"/>
      <c r="Z186" s="324"/>
      <c r="AA186" s="324"/>
      <c r="AB186" s="324"/>
      <c r="AC186" s="324"/>
      <c r="AD186" s="324"/>
      <c r="AE186" s="324"/>
      <c r="AF186" s="324"/>
      <c r="AG186" s="324"/>
      <c r="AH186" s="324"/>
      <c r="AI186" s="324"/>
      <c r="AJ186" s="324"/>
      <c r="AK186" s="324"/>
    </row>
    <row r="187" spans="1:37" ht="12.75" customHeight="1">
      <c r="A187" s="324"/>
      <c r="B187" s="324"/>
      <c r="C187" s="324"/>
      <c r="D187" s="324"/>
      <c r="E187" s="324"/>
      <c r="F187" s="324"/>
      <c r="G187" s="324"/>
      <c r="H187" s="324"/>
      <c r="I187" s="324"/>
      <c r="J187" s="324"/>
      <c r="K187" s="324"/>
      <c r="L187" s="324"/>
      <c r="M187" s="324"/>
      <c r="N187" s="324"/>
      <c r="O187" s="324"/>
      <c r="P187" s="325"/>
      <c r="Q187" s="325"/>
      <c r="R187" s="325"/>
      <c r="S187" s="325"/>
      <c r="T187" s="325"/>
      <c r="U187" s="325"/>
      <c r="V187" s="324"/>
      <c r="W187" s="324"/>
      <c r="X187" s="324"/>
      <c r="Y187" s="324"/>
      <c r="Z187" s="324"/>
      <c r="AA187" s="324"/>
      <c r="AB187" s="324"/>
      <c r="AC187" s="324"/>
      <c r="AD187" s="324"/>
      <c r="AE187" s="324"/>
      <c r="AF187" s="324"/>
      <c r="AG187" s="324"/>
      <c r="AH187" s="324"/>
      <c r="AI187" s="324"/>
      <c r="AJ187" s="324"/>
      <c r="AK187" s="324"/>
    </row>
    <row r="188" spans="1:37" ht="2.25" customHeight="1"/>
    <row r="189" spans="1:37" ht="18" customHeight="1"/>
    <row r="190" spans="1:37" ht="2.25" customHeight="1"/>
    <row r="191" spans="1:37" ht="12.75" customHeight="1">
      <c r="B191" s="318"/>
    </row>
    <row r="192" spans="1:37" ht="2.25" customHeight="1">
      <c r="B192" s="318"/>
    </row>
    <row r="193" spans="1:37" ht="12.75" customHeight="1">
      <c r="B193" s="318"/>
    </row>
    <row r="194" spans="1:37" ht="2.25" customHeight="1">
      <c r="B194" s="318"/>
    </row>
    <row r="195" spans="1:37" ht="12.75" customHeight="1">
      <c r="B195" s="318"/>
      <c r="AB195" s="354"/>
      <c r="AC195" s="354"/>
      <c r="AD195" s="354"/>
      <c r="AE195" s="354"/>
      <c r="AF195" s="354"/>
      <c r="AG195" s="354"/>
      <c r="AH195" s="354"/>
      <c r="AI195" s="354"/>
      <c r="AJ195" s="354"/>
    </row>
    <row r="196" spans="1:37" ht="2.25" customHeight="1"/>
    <row r="197" spans="1:37" ht="12.75" customHeight="1">
      <c r="A197" s="332"/>
      <c r="B197" s="32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49"/>
      <c r="AK197" s="332"/>
    </row>
    <row r="198" spans="1:37" ht="2.25" customHeight="1"/>
    <row r="199" spans="1:37" ht="12.75" customHeight="1">
      <c r="A199" s="324"/>
      <c r="B199" s="324"/>
      <c r="C199" s="324"/>
      <c r="D199" s="324"/>
      <c r="E199" s="324"/>
      <c r="F199" s="324"/>
      <c r="G199" s="324"/>
      <c r="H199" s="324"/>
      <c r="I199" s="324"/>
      <c r="J199" s="324"/>
      <c r="K199" s="324"/>
      <c r="L199" s="324"/>
      <c r="M199" s="324"/>
      <c r="X199" s="323"/>
      <c r="Y199" s="324"/>
      <c r="Z199" s="324"/>
      <c r="AA199" s="324"/>
      <c r="AB199" s="324"/>
      <c r="AC199" s="324"/>
      <c r="AK199" s="324"/>
    </row>
    <row r="200" spans="1:37" ht="2.25" customHeight="1">
      <c r="A200" s="324"/>
      <c r="B200" s="324"/>
      <c r="C200" s="324"/>
      <c r="D200" s="324"/>
      <c r="E200" s="324"/>
      <c r="F200" s="324"/>
      <c r="G200" s="324"/>
      <c r="H200" s="324"/>
      <c r="I200" s="324"/>
      <c r="J200" s="324"/>
      <c r="K200" s="324"/>
      <c r="L200" s="324"/>
      <c r="M200" s="324"/>
      <c r="W200" s="324"/>
      <c r="X200" s="324"/>
      <c r="Y200" s="324"/>
      <c r="Z200" s="324"/>
      <c r="AA200" s="324"/>
      <c r="AB200" s="324"/>
      <c r="AC200" s="324"/>
      <c r="AK200" s="324"/>
    </row>
    <row r="201" spans="1:37" ht="12.75" customHeight="1">
      <c r="A201" s="324"/>
      <c r="B201" s="324"/>
      <c r="C201" s="324"/>
      <c r="D201" s="324"/>
      <c r="E201" s="324"/>
      <c r="F201" s="324"/>
      <c r="G201" s="324"/>
      <c r="H201" s="324"/>
      <c r="I201" s="324"/>
      <c r="J201" s="324"/>
      <c r="K201" s="324"/>
      <c r="L201" s="324"/>
      <c r="M201" s="324"/>
      <c r="W201" s="324"/>
      <c r="X201" s="323"/>
      <c r="Y201" s="324"/>
      <c r="Z201" s="324"/>
      <c r="AA201" s="324"/>
      <c r="AB201" s="324"/>
      <c r="AC201" s="324"/>
      <c r="AJ201" s="323"/>
      <c r="AK201" s="324"/>
    </row>
    <row r="202" spans="1:37" ht="2.25" customHeight="1">
      <c r="A202" s="324"/>
      <c r="B202" s="331"/>
      <c r="C202" s="324"/>
      <c r="D202" s="324"/>
      <c r="E202" s="324"/>
      <c r="F202" s="324"/>
      <c r="G202" s="324"/>
      <c r="H202" s="324"/>
      <c r="I202" s="324"/>
      <c r="J202" s="324"/>
      <c r="K202" s="324"/>
      <c r="L202" s="324"/>
      <c r="M202" s="324"/>
      <c r="AK202" s="324"/>
    </row>
    <row r="203" spans="1:37" ht="12.75" customHeight="1">
      <c r="A203" s="324"/>
      <c r="B203" s="324"/>
      <c r="C203" s="324"/>
      <c r="D203" s="324"/>
      <c r="E203" s="324"/>
      <c r="F203" s="324"/>
      <c r="G203" s="324"/>
      <c r="H203" s="324"/>
      <c r="I203" s="324"/>
      <c r="J203" s="324"/>
      <c r="K203" s="324"/>
      <c r="L203" s="324"/>
      <c r="M203" s="324"/>
      <c r="N203" s="358"/>
      <c r="O203" s="358"/>
      <c r="P203" s="358"/>
      <c r="Q203" s="358"/>
      <c r="R203" s="358"/>
      <c r="S203" s="358"/>
      <c r="T203" s="358"/>
      <c r="U203" s="358"/>
      <c r="V203" s="358"/>
      <c r="W203" s="358"/>
      <c r="X203" s="358"/>
      <c r="Y203" s="358"/>
      <c r="Z203" s="358"/>
      <c r="AA203" s="358"/>
      <c r="AB203" s="358"/>
      <c r="AC203" s="358"/>
      <c r="AD203" s="358"/>
      <c r="AE203" s="358"/>
      <c r="AF203" s="358"/>
      <c r="AG203" s="358"/>
      <c r="AH203" s="358"/>
      <c r="AI203" s="358"/>
      <c r="AJ203" s="358"/>
      <c r="AK203" s="324"/>
    </row>
    <row r="204" spans="1:37" ht="2.25" customHeight="1">
      <c r="A204" s="324"/>
      <c r="B204" s="324"/>
      <c r="C204" s="324"/>
      <c r="D204" s="324"/>
      <c r="E204" s="324"/>
      <c r="F204" s="324"/>
      <c r="G204" s="324"/>
      <c r="H204" s="324"/>
      <c r="I204" s="324"/>
      <c r="J204" s="324"/>
      <c r="K204" s="324"/>
      <c r="L204" s="324"/>
      <c r="M204" s="324"/>
      <c r="N204" s="358"/>
      <c r="O204" s="358"/>
      <c r="P204" s="358"/>
      <c r="Q204" s="358"/>
      <c r="R204" s="358"/>
      <c r="S204" s="358"/>
      <c r="T204" s="358"/>
      <c r="U204" s="358"/>
      <c r="V204" s="358"/>
      <c r="W204" s="358"/>
      <c r="X204" s="358"/>
      <c r="Y204" s="358"/>
      <c r="Z204" s="358"/>
      <c r="AA204" s="358"/>
      <c r="AB204" s="358"/>
      <c r="AC204" s="358"/>
      <c r="AD204" s="358"/>
      <c r="AE204" s="358"/>
      <c r="AF204" s="358"/>
      <c r="AG204" s="358"/>
      <c r="AH204" s="358"/>
      <c r="AI204" s="358"/>
      <c r="AJ204" s="358"/>
      <c r="AK204" s="324"/>
    </row>
    <row r="205" spans="1:37" ht="12.75" customHeight="1">
      <c r="A205" s="324"/>
      <c r="B205" s="324"/>
      <c r="C205" s="324"/>
      <c r="D205" s="324"/>
      <c r="E205" s="324"/>
      <c r="F205" s="324"/>
      <c r="G205" s="324"/>
      <c r="H205" s="324"/>
      <c r="I205" s="324"/>
      <c r="J205" s="324"/>
      <c r="K205" s="324"/>
      <c r="L205" s="324"/>
      <c r="M205" s="324"/>
      <c r="N205" s="358"/>
      <c r="O205" s="358"/>
      <c r="P205" s="358"/>
      <c r="Q205" s="358"/>
      <c r="R205" s="358"/>
      <c r="S205" s="358"/>
      <c r="T205" s="358"/>
      <c r="U205" s="358"/>
      <c r="V205" s="358"/>
      <c r="W205" s="358"/>
      <c r="X205" s="358"/>
      <c r="Y205" s="358"/>
      <c r="Z205" s="358"/>
      <c r="AA205" s="358"/>
      <c r="AB205" s="358"/>
      <c r="AC205" s="358"/>
      <c r="AD205" s="358"/>
      <c r="AE205" s="358"/>
      <c r="AF205" s="358"/>
      <c r="AG205" s="358"/>
      <c r="AH205" s="358"/>
      <c r="AI205" s="358"/>
      <c r="AJ205" s="358"/>
      <c r="AK205" s="324"/>
    </row>
    <row r="206" spans="1:37" ht="2.25" customHeight="1">
      <c r="A206" s="324"/>
      <c r="B206" s="324"/>
      <c r="C206" s="324"/>
      <c r="D206" s="324"/>
      <c r="E206" s="324"/>
      <c r="F206" s="324"/>
      <c r="G206" s="324"/>
      <c r="H206" s="324"/>
      <c r="I206" s="324"/>
      <c r="J206" s="324"/>
      <c r="K206" s="324"/>
      <c r="L206" s="324"/>
      <c r="M206" s="324"/>
      <c r="AK206" s="324"/>
    </row>
    <row r="207" spans="1:37" ht="12.75" customHeight="1">
      <c r="A207" s="324"/>
      <c r="B207" s="324"/>
      <c r="C207" s="324"/>
      <c r="D207" s="324"/>
      <c r="E207" s="324"/>
      <c r="F207" s="324"/>
      <c r="G207" s="324"/>
      <c r="H207" s="324"/>
      <c r="I207" s="324"/>
      <c r="J207" s="324"/>
      <c r="K207" s="324"/>
      <c r="L207" s="324"/>
      <c r="M207" s="324"/>
      <c r="AK207" s="324"/>
    </row>
    <row r="208" spans="1:37" ht="2.25" customHeight="1">
      <c r="B208" s="322"/>
      <c r="E208" s="324"/>
      <c r="F208" s="324"/>
      <c r="G208" s="324"/>
      <c r="H208" s="324"/>
      <c r="I208" s="324"/>
      <c r="J208" s="324"/>
      <c r="K208" s="324"/>
    </row>
    <row r="209" spans="1:37" ht="12.75" customHeight="1">
      <c r="B209" s="318"/>
      <c r="E209" s="324"/>
      <c r="F209" s="324"/>
      <c r="G209" s="324"/>
      <c r="H209" s="324"/>
      <c r="I209" s="324"/>
      <c r="J209" s="324"/>
      <c r="K209" s="324"/>
      <c r="X209" s="324"/>
      <c r="Y209" s="324"/>
      <c r="Z209" s="324"/>
      <c r="AA209" s="324"/>
      <c r="AB209" s="324"/>
      <c r="AC209" s="324"/>
    </row>
    <row r="210" spans="1:37" ht="2.25" customHeight="1">
      <c r="B210" s="318"/>
      <c r="E210" s="324"/>
      <c r="F210" s="324"/>
      <c r="G210" s="324"/>
      <c r="H210" s="324"/>
      <c r="I210" s="324"/>
      <c r="J210" s="324"/>
      <c r="K210" s="324"/>
      <c r="W210" s="324"/>
      <c r="X210" s="324"/>
      <c r="Y210" s="324"/>
      <c r="Z210" s="324"/>
      <c r="AA210" s="324"/>
      <c r="AB210" s="324"/>
      <c r="AC210" s="324"/>
    </row>
    <row r="211" spans="1:37" ht="12.75" customHeight="1">
      <c r="B211" s="318"/>
      <c r="E211" s="324"/>
      <c r="F211" s="324"/>
      <c r="G211" s="324"/>
      <c r="H211" s="324"/>
      <c r="I211" s="324"/>
      <c r="J211" s="324"/>
      <c r="K211" s="324"/>
      <c r="X211" s="324"/>
      <c r="Y211" s="324"/>
      <c r="Z211" s="324"/>
      <c r="AA211" s="324"/>
      <c r="AB211" s="324"/>
      <c r="AC211" s="324"/>
    </row>
    <row r="212" spans="1:37" ht="2.25" customHeight="1"/>
    <row r="213" spans="1:37" ht="12.75" customHeight="1">
      <c r="B213" s="318"/>
      <c r="E213" s="324"/>
    </row>
    <row r="214" spans="1:37" ht="2.25" customHeight="1">
      <c r="B214" s="318"/>
    </row>
    <row r="215" spans="1:37" ht="12.75" customHeight="1">
      <c r="A215" s="324"/>
      <c r="B215" s="318"/>
      <c r="C215" s="324"/>
      <c r="D215" s="324"/>
      <c r="L215" s="324"/>
      <c r="M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4"/>
    </row>
    <row r="216" spans="1:37" ht="2.25" customHeight="1">
      <c r="A216" s="324"/>
      <c r="B216" s="318"/>
      <c r="C216" s="324"/>
      <c r="D216" s="324"/>
      <c r="L216" s="324"/>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4"/>
    </row>
    <row r="217" spans="1:37" ht="12.75" customHeight="1">
      <c r="A217" s="324"/>
      <c r="B217" s="318"/>
      <c r="C217" s="324"/>
      <c r="D217" s="324"/>
      <c r="L217" s="324"/>
      <c r="M217" s="324"/>
      <c r="P217" s="324"/>
      <c r="Q217" s="324"/>
      <c r="R217" s="324"/>
      <c r="S217" s="324"/>
      <c r="T217" s="324"/>
      <c r="U217" s="324"/>
      <c r="V217" s="324"/>
      <c r="W217" s="324"/>
      <c r="X217" s="324"/>
      <c r="Y217" s="324"/>
      <c r="Z217" s="324"/>
      <c r="AA217" s="324"/>
      <c r="AB217" s="324"/>
      <c r="AC217" s="324"/>
      <c r="AD217" s="323"/>
      <c r="AE217" s="359"/>
      <c r="AF217" s="359"/>
      <c r="AG217" s="359"/>
      <c r="AH217" s="359"/>
      <c r="AI217" s="359"/>
      <c r="AJ217" s="359"/>
      <c r="AK217" s="324"/>
    </row>
    <row r="218" spans="1:37" ht="2.25" customHeight="1">
      <c r="E218" s="319"/>
      <c r="F218" s="319"/>
      <c r="G218" s="319"/>
      <c r="H218" s="319"/>
      <c r="I218" s="319"/>
      <c r="J218" s="319"/>
      <c r="K218" s="319"/>
    </row>
    <row r="219" spans="1:37" ht="30" customHeight="1">
      <c r="A219" s="324"/>
      <c r="B219" s="318"/>
      <c r="C219" s="324"/>
      <c r="D219" s="324"/>
      <c r="E219" s="324"/>
      <c r="F219" s="324"/>
      <c r="G219" s="324"/>
      <c r="H219" s="324"/>
      <c r="I219" s="324"/>
      <c r="J219" s="324"/>
      <c r="K219" s="324"/>
      <c r="L219" s="324"/>
      <c r="M219" s="324"/>
      <c r="O219" s="324"/>
      <c r="P219" s="324"/>
      <c r="Q219" s="324"/>
      <c r="R219" s="324"/>
      <c r="S219" s="324"/>
      <c r="T219" s="324"/>
      <c r="U219" s="324"/>
      <c r="V219" s="324"/>
      <c r="W219" s="324"/>
      <c r="X219" s="324"/>
      <c r="Y219" s="324"/>
      <c r="Z219" s="324"/>
      <c r="AA219" s="324"/>
      <c r="AB219" s="324"/>
      <c r="AC219" s="324"/>
      <c r="AD219" s="323"/>
      <c r="AE219" s="359"/>
      <c r="AF219" s="359"/>
      <c r="AG219" s="359"/>
      <c r="AH219" s="359"/>
      <c r="AI219" s="359"/>
      <c r="AJ219" s="359"/>
      <c r="AK219" s="324"/>
    </row>
    <row r="220" spans="1:37" ht="2.25" customHeight="1">
      <c r="A220" s="324"/>
      <c r="B220" s="318"/>
      <c r="C220" s="324"/>
      <c r="D220" s="324"/>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4"/>
    </row>
    <row r="221" spans="1:37" ht="9" customHeight="1">
      <c r="A221" s="324"/>
      <c r="B221" s="318"/>
      <c r="C221" s="324"/>
      <c r="D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row>
    <row r="222" spans="1:37" s="336" customFormat="1" ht="10.5" customHeight="1">
      <c r="B222" s="342"/>
    </row>
    <row r="223" spans="1:37" s="336" customFormat="1" ht="10.5" customHeight="1">
      <c r="B223" s="342"/>
      <c r="F223" s="352"/>
      <c r="G223" s="352"/>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row>
    <row r="224" spans="1:37" s="336" customFormat="1" ht="10.5" customHeight="1">
      <c r="B224" s="342"/>
      <c r="F224" s="352"/>
      <c r="G224" s="352"/>
      <c r="H224" s="352"/>
      <c r="I224" s="352"/>
      <c r="J224" s="352"/>
      <c r="K224" s="352"/>
      <c r="L224" s="352"/>
      <c r="M224" s="352"/>
      <c r="N224" s="352"/>
      <c r="O224" s="352"/>
      <c r="P224" s="352"/>
      <c r="Q224" s="352"/>
      <c r="R224" s="352"/>
      <c r="S224" s="352"/>
      <c r="T224" s="352"/>
      <c r="U224" s="352"/>
      <c r="V224" s="352"/>
      <c r="W224" s="352"/>
      <c r="X224" s="352"/>
      <c r="Y224" s="352"/>
      <c r="Z224" s="352"/>
      <c r="AA224" s="352"/>
      <c r="AB224" s="352"/>
      <c r="AC224" s="352"/>
      <c r="AD224" s="352"/>
      <c r="AE224" s="352"/>
      <c r="AF224" s="352"/>
      <c r="AG224" s="352"/>
      <c r="AH224" s="352"/>
      <c r="AI224" s="352"/>
      <c r="AJ224" s="352"/>
    </row>
    <row r="225" spans="2:37" s="336" customFormat="1" ht="10.5" customHeight="1">
      <c r="B225" s="34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2"/>
      <c r="AH225" s="352"/>
      <c r="AI225" s="352"/>
      <c r="AJ225" s="352"/>
    </row>
    <row r="226" spans="2:37" s="336" customFormat="1" ht="10.5" customHeight="1">
      <c r="B226" s="342"/>
      <c r="F226" s="352"/>
      <c r="G226" s="352"/>
      <c r="H226" s="352"/>
      <c r="I226" s="352"/>
      <c r="J226" s="352"/>
      <c r="K226" s="352"/>
      <c r="L226" s="352"/>
      <c r="M226" s="352"/>
      <c r="N226" s="352"/>
      <c r="O226" s="352"/>
      <c r="P226" s="352"/>
      <c r="Q226" s="352"/>
      <c r="R226" s="352"/>
      <c r="S226" s="352"/>
      <c r="T226" s="352"/>
      <c r="U226" s="352"/>
      <c r="V226" s="352"/>
      <c r="W226" s="352"/>
      <c r="X226" s="352"/>
      <c r="Y226" s="352"/>
      <c r="Z226" s="352"/>
      <c r="AA226" s="352"/>
      <c r="AB226" s="352"/>
      <c r="AC226" s="352"/>
      <c r="AD226" s="352"/>
      <c r="AE226" s="352"/>
      <c r="AF226" s="352"/>
      <c r="AG226" s="352"/>
      <c r="AH226" s="352"/>
      <c r="AI226" s="352"/>
      <c r="AJ226" s="352"/>
    </row>
    <row r="227" spans="2:37" ht="13.5" customHeight="1">
      <c r="B227" s="318"/>
    </row>
    <row r="228" spans="2:37" ht="12.75" customHeight="1">
      <c r="B228" s="318"/>
      <c r="AK228" s="319"/>
    </row>
    <row r="229" spans="2:37" ht="10.5" customHeight="1">
      <c r="AD229" s="354"/>
      <c r="AE229" s="354"/>
      <c r="AF229" s="354"/>
      <c r="AG229" s="354"/>
      <c r="AH229" s="354"/>
      <c r="AI229" s="354"/>
      <c r="AJ229" s="354"/>
    </row>
    <row r="230" spans="2:37" ht="10.5" customHeight="1"/>
    <row r="231" spans="2:37" ht="9" customHeight="1">
      <c r="B231" s="322"/>
    </row>
    <row r="232" spans="2:37" ht="15.75" customHeight="1">
      <c r="T232" s="323"/>
      <c r="V232" s="323"/>
      <c r="W232" s="325"/>
      <c r="X232" s="325"/>
      <c r="Y232" s="325"/>
      <c r="Z232" s="325"/>
      <c r="AA232" s="325"/>
      <c r="AB232" s="325"/>
      <c r="AC232" s="325"/>
      <c r="AD232" s="325"/>
      <c r="AE232" s="325"/>
      <c r="AF232" s="325"/>
      <c r="AG232" s="325"/>
      <c r="AH232" s="325"/>
      <c r="AI232" s="325"/>
    </row>
    <row r="233" spans="2:37" ht="2.25" customHeight="1">
      <c r="B233" s="322"/>
      <c r="V233" s="323"/>
      <c r="AA233" s="326"/>
      <c r="AB233" s="326"/>
      <c r="AC233" s="326"/>
      <c r="AD233" s="326"/>
      <c r="AE233" s="326"/>
      <c r="AF233" s="326"/>
      <c r="AG233" s="326"/>
      <c r="AH233" s="326"/>
      <c r="AI233" s="326"/>
    </row>
    <row r="234" spans="2:37" ht="15.75" customHeight="1">
      <c r="V234" s="323"/>
      <c r="W234" s="325"/>
      <c r="X234" s="325"/>
      <c r="Y234" s="325"/>
      <c r="Z234" s="325"/>
      <c r="AA234" s="325"/>
      <c r="AB234" s="325"/>
      <c r="AC234" s="325"/>
      <c r="AD234" s="325"/>
      <c r="AE234" s="325"/>
      <c r="AF234" s="325"/>
      <c r="AG234" s="325"/>
      <c r="AH234" s="325"/>
      <c r="AI234" s="325"/>
    </row>
    <row r="235" spans="2:37" ht="2.25" customHeight="1">
      <c r="B235" s="322"/>
      <c r="V235" s="323"/>
      <c r="AB235" s="326"/>
      <c r="AC235" s="326"/>
      <c r="AD235" s="326"/>
      <c r="AE235" s="326"/>
      <c r="AF235" s="326"/>
      <c r="AG235" s="326"/>
      <c r="AH235" s="326"/>
      <c r="AI235" s="326"/>
      <c r="AJ235" s="326"/>
    </row>
    <row r="236" spans="2:37" ht="15.75" customHeight="1">
      <c r="V236" s="323"/>
      <c r="W236" s="325"/>
      <c r="X236" s="325"/>
      <c r="Y236" s="325"/>
      <c r="Z236" s="325"/>
      <c r="AA236" s="325"/>
      <c r="AB236" s="325"/>
      <c r="AC236" s="325"/>
      <c r="AD236" s="325"/>
      <c r="AE236" s="325"/>
      <c r="AF236" s="325"/>
      <c r="AG236" s="325"/>
      <c r="AH236" s="325"/>
      <c r="AI236" s="325"/>
    </row>
    <row r="237" spans="2:37" ht="13.5" customHeight="1">
      <c r="W237" s="325"/>
      <c r="X237" s="325"/>
      <c r="Y237" s="325"/>
      <c r="Z237" s="325"/>
      <c r="AA237" s="325"/>
      <c r="AB237" s="325"/>
      <c r="AC237" s="325"/>
      <c r="AD237" s="325"/>
      <c r="AE237" s="325"/>
      <c r="AF237" s="325"/>
      <c r="AG237" s="325"/>
      <c r="AH237" s="325"/>
      <c r="AI237" s="325"/>
    </row>
    <row r="238" spans="2:37" ht="13.5" customHeight="1">
      <c r="W238" s="325"/>
      <c r="X238" s="325"/>
      <c r="Y238" s="325"/>
      <c r="Z238" s="325"/>
      <c r="AA238" s="325"/>
      <c r="AB238" s="325"/>
      <c r="AC238" s="325"/>
      <c r="AD238" s="325"/>
      <c r="AE238" s="325"/>
      <c r="AF238" s="325"/>
      <c r="AG238" s="325"/>
      <c r="AH238" s="325"/>
      <c r="AI238" s="325"/>
    </row>
    <row r="239" spans="2:37" ht="13.5" customHeight="1">
      <c r="W239" s="325"/>
      <c r="X239" s="325"/>
      <c r="Y239" s="325"/>
      <c r="Z239" s="325"/>
      <c r="AA239" s="325"/>
      <c r="AB239" s="325"/>
      <c r="AC239" s="325"/>
      <c r="AD239" s="325"/>
      <c r="AE239" s="325"/>
      <c r="AF239" s="325"/>
      <c r="AG239" s="325"/>
      <c r="AH239" s="325"/>
      <c r="AI239" s="325"/>
    </row>
    <row r="240" spans="2:37" ht="13.5" customHeight="1">
      <c r="W240" s="324"/>
      <c r="X240" s="324"/>
      <c r="Y240" s="324"/>
      <c r="Z240" s="324"/>
      <c r="AA240" s="324"/>
      <c r="AB240" s="324"/>
      <c r="AC240" s="324"/>
      <c r="AD240" s="324"/>
      <c r="AE240" s="324"/>
      <c r="AF240" s="324"/>
      <c r="AG240" s="324"/>
      <c r="AH240" s="324"/>
    </row>
    <row r="241" spans="1:37" ht="2.25" customHeight="1">
      <c r="B241" s="322"/>
      <c r="V241" s="323"/>
      <c r="AB241" s="326"/>
      <c r="AC241" s="326"/>
      <c r="AD241" s="326"/>
      <c r="AE241" s="326"/>
      <c r="AF241" s="326"/>
      <c r="AG241" s="326"/>
      <c r="AH241" s="326"/>
      <c r="AI241" s="326"/>
      <c r="AJ241" s="326"/>
    </row>
    <row r="242" spans="1:37" ht="12.75" customHeight="1">
      <c r="E242" s="327"/>
      <c r="F242" s="327"/>
      <c r="G242" s="327"/>
      <c r="H242" s="327"/>
      <c r="I242" s="327"/>
      <c r="K242" s="327"/>
      <c r="O242" s="327"/>
      <c r="P242" s="327"/>
      <c r="V242" s="323"/>
    </row>
    <row r="243" spans="1:37" ht="2.25" customHeight="1">
      <c r="B243" s="322"/>
    </row>
    <row r="244" spans="1:37" ht="2.25" customHeight="1">
      <c r="B244" s="322"/>
    </row>
    <row r="245" spans="1:37" ht="12.75" customHeight="1">
      <c r="B245" s="326"/>
      <c r="E245" s="327"/>
      <c r="F245" s="327"/>
      <c r="G245" s="327"/>
      <c r="H245" s="327"/>
      <c r="I245" s="327"/>
      <c r="K245" s="327"/>
      <c r="O245" s="327"/>
      <c r="P245" s="327"/>
    </row>
    <row r="246" spans="1:37" ht="2.25" customHeight="1">
      <c r="B246" s="322"/>
    </row>
    <row r="247" spans="1:37" ht="12.75" customHeight="1">
      <c r="B247" s="318"/>
      <c r="AK247" s="319"/>
    </row>
    <row r="248" spans="1:37" ht="2.25" customHeight="1">
      <c r="B248" s="322"/>
    </row>
    <row r="249" spans="1:37" ht="12.75" customHeight="1">
      <c r="A249" s="324"/>
      <c r="B249" s="324"/>
      <c r="C249" s="324"/>
      <c r="D249" s="324"/>
      <c r="E249" s="324"/>
      <c r="F249" s="324"/>
      <c r="G249" s="324"/>
      <c r="H249" s="324"/>
      <c r="I249" s="324"/>
      <c r="J249" s="324"/>
      <c r="K249" s="324"/>
      <c r="L249" s="324"/>
      <c r="M249" s="324"/>
      <c r="AK249" s="324"/>
    </row>
    <row r="250" spans="1:37" ht="2.25" customHeight="1">
      <c r="A250" s="324"/>
      <c r="B250" s="324"/>
      <c r="C250" s="324"/>
      <c r="D250" s="324"/>
      <c r="E250" s="324"/>
      <c r="F250" s="324"/>
      <c r="G250" s="324"/>
      <c r="H250" s="324"/>
      <c r="I250" s="324"/>
      <c r="J250" s="324"/>
      <c r="K250" s="324"/>
      <c r="L250" s="324"/>
      <c r="M250" s="324"/>
      <c r="AK250" s="324"/>
    </row>
    <row r="251" spans="1:37" ht="12.75" customHeight="1">
      <c r="A251" s="324"/>
      <c r="B251" s="324"/>
      <c r="C251" s="324"/>
      <c r="D251" s="324"/>
      <c r="E251" s="324"/>
      <c r="F251" s="324"/>
      <c r="G251" s="324"/>
      <c r="H251" s="324"/>
      <c r="I251" s="324"/>
      <c r="J251" s="324"/>
      <c r="K251" s="324"/>
      <c r="L251" s="324"/>
      <c r="M251" s="324"/>
      <c r="AK251" s="324"/>
    </row>
    <row r="252" spans="1:37" ht="2.25" customHeight="1">
      <c r="A252" s="324"/>
      <c r="B252" s="331"/>
      <c r="C252" s="324"/>
      <c r="D252" s="324"/>
      <c r="E252" s="324"/>
      <c r="F252" s="324"/>
      <c r="L252" s="324"/>
      <c r="M252" s="324"/>
      <c r="AK252" s="324"/>
    </row>
    <row r="253" spans="1:37" ht="12.75" customHeight="1">
      <c r="A253" s="324"/>
      <c r="B253" s="332"/>
      <c r="C253" s="332"/>
      <c r="D253" s="332"/>
      <c r="E253" s="332"/>
      <c r="F253" s="332"/>
      <c r="G253" s="332"/>
      <c r="H253" s="332"/>
      <c r="I253" s="332"/>
      <c r="J253" s="332"/>
      <c r="K253" s="332"/>
      <c r="L253" s="324"/>
      <c r="M253" s="324"/>
      <c r="N253" s="333"/>
      <c r="O253" s="333"/>
      <c r="P253" s="333"/>
      <c r="Q253" s="333"/>
      <c r="R253" s="333"/>
      <c r="S253" s="333"/>
      <c r="T253" s="333"/>
      <c r="U253" s="333"/>
      <c r="V253" s="333"/>
      <c r="W253" s="333"/>
      <c r="X253" s="333"/>
      <c r="Y253" s="333"/>
      <c r="Z253" s="333"/>
      <c r="AA253" s="333"/>
      <c r="AB253" s="333"/>
      <c r="AC253" s="333"/>
      <c r="AD253" s="333"/>
      <c r="AE253" s="333"/>
      <c r="AF253" s="333"/>
      <c r="AG253" s="333"/>
      <c r="AH253" s="333"/>
      <c r="AI253" s="333"/>
      <c r="AJ253" s="333"/>
      <c r="AK253" s="324"/>
    </row>
    <row r="254" spans="1:37" ht="2.25" customHeight="1">
      <c r="A254" s="324"/>
      <c r="B254" s="332"/>
      <c r="C254" s="324"/>
      <c r="D254" s="324"/>
      <c r="E254" s="332"/>
      <c r="F254" s="332"/>
      <c r="G254" s="332"/>
      <c r="H254" s="332"/>
      <c r="I254" s="332"/>
      <c r="J254" s="332"/>
      <c r="K254" s="332"/>
      <c r="L254" s="324"/>
      <c r="M254" s="324"/>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4"/>
    </row>
    <row r="255" spans="1:37" ht="12.75" customHeight="1">
      <c r="A255" s="324"/>
      <c r="B255" s="332"/>
      <c r="C255" s="332"/>
      <c r="D255" s="332"/>
      <c r="E255" s="332"/>
      <c r="F255" s="332"/>
      <c r="G255" s="332"/>
      <c r="H255" s="332"/>
      <c r="I255" s="332"/>
      <c r="J255" s="332"/>
      <c r="K255" s="332"/>
      <c r="L255" s="324"/>
      <c r="M255" s="324"/>
      <c r="AK255" s="324"/>
    </row>
    <row r="256" spans="1:37" ht="2.25" customHeight="1">
      <c r="A256" s="324"/>
      <c r="B256" s="332"/>
      <c r="C256" s="324"/>
      <c r="D256" s="324"/>
      <c r="E256" s="332"/>
      <c r="F256" s="332"/>
      <c r="G256" s="332"/>
      <c r="H256" s="332"/>
      <c r="I256" s="332"/>
      <c r="J256" s="332"/>
      <c r="K256" s="332"/>
      <c r="L256" s="324"/>
      <c r="M256" s="324"/>
      <c r="N256" s="326"/>
      <c r="O256" s="326"/>
      <c r="P256" s="326"/>
      <c r="Q256" s="326"/>
      <c r="R256" s="326"/>
      <c r="S256" s="326"/>
      <c r="T256" s="326"/>
      <c r="U256" s="326"/>
      <c r="V256" s="326"/>
      <c r="W256" s="326"/>
      <c r="X256" s="326"/>
      <c r="Y256" s="326"/>
      <c r="Z256" s="326"/>
      <c r="AA256" s="326"/>
      <c r="AB256" s="326"/>
      <c r="AC256" s="326"/>
      <c r="AD256" s="326"/>
      <c r="AE256" s="326"/>
      <c r="AF256" s="326"/>
      <c r="AG256" s="326"/>
      <c r="AH256" s="326"/>
      <c r="AI256" s="326"/>
      <c r="AJ256" s="326"/>
      <c r="AK256" s="324"/>
    </row>
    <row r="257" spans="1:37" ht="12.75" customHeight="1">
      <c r="A257" s="324"/>
      <c r="B257" s="332"/>
      <c r="C257" s="332"/>
      <c r="D257" s="332"/>
      <c r="E257" s="332"/>
      <c r="F257" s="332"/>
      <c r="G257" s="332"/>
      <c r="H257" s="332"/>
      <c r="I257" s="332"/>
      <c r="J257" s="332"/>
      <c r="K257" s="332"/>
      <c r="L257" s="324"/>
      <c r="M257" s="324"/>
      <c r="AK257" s="324"/>
    </row>
    <row r="258" spans="1:37" ht="2.25" customHeight="1">
      <c r="A258" s="324"/>
      <c r="B258" s="332"/>
      <c r="C258" s="324"/>
      <c r="D258" s="324"/>
      <c r="E258" s="332"/>
      <c r="F258" s="332"/>
      <c r="G258" s="332"/>
      <c r="H258" s="332"/>
      <c r="I258" s="332"/>
      <c r="J258" s="332"/>
      <c r="K258" s="332"/>
      <c r="L258" s="324"/>
      <c r="M258" s="324"/>
      <c r="N258" s="326"/>
      <c r="O258" s="326"/>
      <c r="P258" s="326"/>
      <c r="Q258" s="326"/>
      <c r="R258" s="326"/>
      <c r="S258" s="326"/>
      <c r="T258" s="326"/>
      <c r="U258" s="326"/>
      <c r="V258" s="326"/>
      <c r="W258" s="326"/>
      <c r="X258" s="326"/>
      <c r="Y258" s="326"/>
      <c r="Z258" s="326"/>
      <c r="AA258" s="326"/>
      <c r="AB258" s="326"/>
      <c r="AC258" s="326"/>
      <c r="AD258" s="326"/>
      <c r="AE258" s="326"/>
      <c r="AF258" s="326"/>
      <c r="AG258" s="326"/>
      <c r="AH258" s="326"/>
      <c r="AI258" s="326"/>
      <c r="AJ258" s="326"/>
      <c r="AK258" s="324"/>
    </row>
    <row r="259" spans="1:37" ht="12.75" customHeight="1">
      <c r="A259" s="324"/>
      <c r="B259" s="332"/>
      <c r="C259" s="332"/>
      <c r="D259" s="332"/>
      <c r="E259" s="332"/>
      <c r="F259" s="332"/>
      <c r="G259" s="332"/>
      <c r="H259" s="332"/>
      <c r="I259" s="332"/>
      <c r="J259" s="332"/>
      <c r="K259" s="332"/>
      <c r="L259" s="324"/>
      <c r="M259" s="324"/>
      <c r="AK259" s="324"/>
    </row>
    <row r="260" spans="1:37" ht="2.25" customHeight="1">
      <c r="B260" s="322"/>
    </row>
    <row r="261" spans="1:37" ht="12.75" customHeight="1">
      <c r="A261" s="324"/>
      <c r="B261" s="324"/>
      <c r="C261" s="324"/>
      <c r="D261" s="324"/>
      <c r="E261" s="324"/>
      <c r="F261" s="324"/>
      <c r="G261" s="324"/>
      <c r="H261" s="324"/>
      <c r="I261" s="324"/>
      <c r="J261" s="324"/>
      <c r="K261" s="324"/>
      <c r="L261" s="324"/>
      <c r="M261" s="324"/>
      <c r="N261" s="355"/>
      <c r="O261" s="343"/>
      <c r="P261" s="343"/>
      <c r="Q261" s="343"/>
      <c r="R261" s="356"/>
      <c r="S261" s="355"/>
      <c r="T261" s="355"/>
      <c r="U261" s="355"/>
      <c r="V261" s="357"/>
      <c r="W261" s="343"/>
      <c r="X261" s="343"/>
      <c r="Y261" s="343"/>
      <c r="Z261" s="343"/>
      <c r="AA261" s="355"/>
      <c r="AB261" s="356"/>
      <c r="AC261" s="355"/>
      <c r="AD261" s="355"/>
      <c r="AE261" s="343"/>
      <c r="AF261" s="343"/>
      <c r="AG261" s="343"/>
      <c r="AH261" s="343"/>
      <c r="AI261" s="356"/>
      <c r="AK261" s="324"/>
    </row>
    <row r="262" spans="1:37" ht="2.25" customHeight="1">
      <c r="A262" s="324"/>
      <c r="B262" s="324"/>
      <c r="C262" s="324"/>
      <c r="D262" s="324"/>
      <c r="E262" s="324"/>
      <c r="F262" s="324"/>
      <c r="G262" s="324"/>
      <c r="H262" s="324"/>
      <c r="I262" s="324"/>
      <c r="J262" s="324"/>
      <c r="K262" s="324"/>
      <c r="L262" s="324"/>
      <c r="M262" s="324"/>
      <c r="AK262" s="324"/>
    </row>
    <row r="263" spans="1:37" ht="12.75" customHeight="1">
      <c r="A263" s="324"/>
      <c r="B263" s="324"/>
      <c r="C263" s="324"/>
      <c r="D263" s="324"/>
      <c r="E263" s="324"/>
      <c r="F263" s="324"/>
      <c r="G263" s="324"/>
      <c r="H263" s="324"/>
      <c r="I263" s="324"/>
      <c r="J263" s="324"/>
      <c r="K263" s="324"/>
      <c r="L263" s="324"/>
      <c r="M263" s="324"/>
      <c r="N263" s="343"/>
      <c r="O263" s="343"/>
      <c r="P263" s="343"/>
      <c r="Q263" s="343"/>
      <c r="R263" s="343"/>
      <c r="S263" s="343"/>
      <c r="T263" s="343"/>
      <c r="U263" s="343"/>
      <c r="V263" s="343"/>
      <c r="W263" s="343"/>
      <c r="X263" s="343"/>
      <c r="Y263" s="343"/>
      <c r="Z263" s="343"/>
      <c r="AA263" s="343"/>
      <c r="AB263" s="343"/>
      <c r="AC263" s="343"/>
      <c r="AD263" s="343"/>
      <c r="AE263" s="343"/>
      <c r="AF263" s="343"/>
      <c r="AG263" s="343"/>
      <c r="AH263" s="343"/>
      <c r="AI263" s="343"/>
      <c r="AK263" s="324"/>
    </row>
    <row r="264" spans="1:37" ht="1.5" customHeight="1">
      <c r="A264" s="324"/>
      <c r="B264" s="324"/>
      <c r="C264" s="324"/>
      <c r="D264" s="324"/>
      <c r="E264" s="324"/>
      <c r="F264" s="324"/>
      <c r="G264" s="324"/>
      <c r="H264" s="324"/>
      <c r="I264" s="324"/>
      <c r="J264" s="324"/>
      <c r="K264" s="324"/>
      <c r="L264" s="324"/>
      <c r="M264" s="324"/>
      <c r="AK264" s="324"/>
    </row>
    <row r="265" spans="1:37" ht="12.75" customHeight="1">
      <c r="A265" s="324"/>
      <c r="B265" s="324"/>
      <c r="C265" s="324"/>
      <c r="D265" s="324"/>
      <c r="E265" s="324"/>
      <c r="F265" s="324"/>
      <c r="G265" s="324"/>
      <c r="H265" s="324"/>
      <c r="I265" s="324"/>
      <c r="J265" s="324"/>
      <c r="K265" s="324"/>
      <c r="L265" s="324"/>
      <c r="M265" s="324"/>
      <c r="N265" s="355"/>
      <c r="O265" s="343"/>
      <c r="P265" s="343"/>
      <c r="Q265" s="343"/>
      <c r="R265" s="356"/>
      <c r="S265" s="355"/>
      <c r="T265" s="355"/>
      <c r="U265" s="360"/>
      <c r="V265" s="343"/>
      <c r="W265" s="343"/>
      <c r="X265" s="343"/>
      <c r="Y265" s="355"/>
      <c r="Z265" s="343"/>
      <c r="AA265" s="343"/>
      <c r="AB265" s="361"/>
      <c r="AC265" s="361"/>
      <c r="AD265" s="355"/>
      <c r="AE265" s="343"/>
      <c r="AF265" s="343"/>
      <c r="AG265" s="343"/>
      <c r="AH265" s="343"/>
      <c r="AI265" s="356"/>
      <c r="AK265" s="324"/>
    </row>
    <row r="266" spans="1:37" ht="1.5" customHeight="1">
      <c r="A266" s="324"/>
      <c r="B266" s="324"/>
      <c r="C266" s="324"/>
      <c r="D266" s="324"/>
      <c r="E266" s="324"/>
      <c r="F266" s="324"/>
      <c r="G266" s="324"/>
      <c r="H266" s="324"/>
      <c r="I266" s="324"/>
      <c r="J266" s="324"/>
      <c r="K266" s="324"/>
      <c r="L266" s="324"/>
      <c r="M266" s="324"/>
      <c r="AK266" s="324"/>
    </row>
    <row r="267" spans="1:37" ht="12.75" customHeight="1">
      <c r="A267" s="324"/>
      <c r="B267" s="324"/>
      <c r="C267" s="324"/>
      <c r="D267" s="324"/>
      <c r="E267" s="324"/>
      <c r="F267" s="324"/>
      <c r="G267" s="324"/>
      <c r="H267" s="324"/>
      <c r="I267" s="324"/>
      <c r="J267" s="324"/>
      <c r="K267" s="324"/>
      <c r="L267" s="324"/>
      <c r="M267" s="324"/>
      <c r="N267" s="343"/>
      <c r="O267" s="343"/>
      <c r="P267" s="343"/>
      <c r="Q267" s="343"/>
      <c r="R267" s="343"/>
      <c r="S267" s="343"/>
      <c r="T267" s="343"/>
      <c r="U267" s="343"/>
      <c r="V267" s="343"/>
      <c r="W267" s="343"/>
      <c r="X267" s="343"/>
      <c r="Y267" s="343"/>
      <c r="Z267" s="343"/>
      <c r="AA267" s="343"/>
      <c r="AB267" s="343"/>
      <c r="AC267" s="343"/>
      <c r="AD267" s="343"/>
      <c r="AE267" s="343"/>
      <c r="AF267" s="343"/>
      <c r="AG267" s="343"/>
      <c r="AH267" s="343"/>
      <c r="AI267" s="343"/>
      <c r="AK267" s="324"/>
    </row>
    <row r="268" spans="1:37" ht="1.5" customHeight="1">
      <c r="A268" s="324"/>
      <c r="B268" s="324"/>
      <c r="C268" s="324"/>
      <c r="D268" s="324"/>
      <c r="E268" s="324"/>
      <c r="F268" s="324"/>
      <c r="G268" s="324"/>
      <c r="H268" s="324"/>
      <c r="I268" s="324"/>
      <c r="J268" s="324"/>
      <c r="K268" s="324"/>
      <c r="L268" s="324"/>
      <c r="M268" s="324"/>
      <c r="AK268" s="324"/>
    </row>
    <row r="269" spans="1:37" ht="12.75" customHeight="1">
      <c r="A269" s="324"/>
      <c r="B269" s="324"/>
      <c r="C269" s="324"/>
      <c r="D269" s="324"/>
      <c r="E269" s="324"/>
      <c r="F269" s="324"/>
      <c r="G269" s="324"/>
      <c r="H269" s="324"/>
      <c r="I269" s="324"/>
      <c r="J269" s="324"/>
      <c r="K269" s="324"/>
      <c r="L269" s="324"/>
      <c r="M269" s="324"/>
      <c r="N269" s="343"/>
      <c r="O269" s="343"/>
      <c r="P269" s="343"/>
      <c r="Q269" s="343"/>
      <c r="R269" s="343"/>
      <c r="S269" s="343"/>
      <c r="T269" s="343"/>
      <c r="U269" s="343"/>
      <c r="V269" s="343"/>
      <c r="W269" s="343"/>
      <c r="X269" s="343"/>
      <c r="Y269" s="343"/>
      <c r="Z269" s="343"/>
      <c r="AA269" s="343"/>
      <c r="AB269" s="343"/>
      <c r="AC269" s="343"/>
      <c r="AD269" s="343"/>
      <c r="AE269" s="343"/>
      <c r="AF269" s="343"/>
      <c r="AG269" s="343"/>
      <c r="AH269" s="343"/>
      <c r="AI269" s="343"/>
      <c r="AK269" s="324"/>
    </row>
    <row r="270" spans="1:37" ht="1.5" customHeight="1">
      <c r="A270" s="324"/>
      <c r="B270" s="324"/>
      <c r="C270" s="324"/>
      <c r="D270" s="324"/>
      <c r="E270" s="324"/>
      <c r="F270" s="324"/>
      <c r="G270" s="324"/>
      <c r="H270" s="324"/>
      <c r="I270" s="324"/>
      <c r="J270" s="324"/>
      <c r="K270" s="324"/>
      <c r="L270" s="324"/>
      <c r="M270" s="324"/>
      <c r="AK270" s="324"/>
    </row>
    <row r="271" spans="1:37" ht="12.75" customHeight="1">
      <c r="A271" s="324"/>
      <c r="B271" s="324"/>
      <c r="C271" s="324"/>
      <c r="D271" s="324"/>
      <c r="E271" s="324"/>
      <c r="F271" s="324"/>
      <c r="G271" s="324"/>
      <c r="H271" s="324"/>
      <c r="I271" s="324"/>
      <c r="J271" s="324"/>
      <c r="K271" s="324"/>
      <c r="L271" s="324"/>
      <c r="M271" s="324"/>
      <c r="N271" s="343"/>
      <c r="O271" s="343"/>
      <c r="P271" s="343"/>
      <c r="Q271" s="343"/>
      <c r="R271" s="343"/>
      <c r="S271" s="343"/>
      <c r="T271" s="343"/>
      <c r="U271" s="343"/>
      <c r="V271" s="343"/>
      <c r="W271" s="343"/>
      <c r="X271" s="343"/>
      <c r="Y271" s="343"/>
      <c r="Z271" s="343"/>
      <c r="AA271" s="343"/>
      <c r="AB271" s="343"/>
      <c r="AC271" s="343"/>
      <c r="AD271" s="343"/>
      <c r="AE271" s="343"/>
      <c r="AF271" s="343"/>
      <c r="AG271" s="343"/>
      <c r="AH271" s="343"/>
      <c r="AI271" s="343"/>
      <c r="AK271" s="324"/>
    </row>
    <row r="272" spans="1:37" ht="2.25" customHeight="1">
      <c r="A272" s="324"/>
      <c r="B272" s="331"/>
      <c r="C272" s="324"/>
      <c r="D272" s="324"/>
      <c r="E272" s="324"/>
      <c r="F272" s="324"/>
      <c r="G272" s="324"/>
      <c r="H272" s="324"/>
      <c r="I272" s="324"/>
      <c r="L272" s="324"/>
      <c r="M272" s="324"/>
      <c r="AK272" s="324"/>
    </row>
    <row r="273" spans="1:37" ht="12.75" customHeight="1">
      <c r="A273" s="324"/>
      <c r="B273" s="324"/>
      <c r="C273" s="324"/>
      <c r="D273" s="324"/>
      <c r="E273" s="324"/>
      <c r="F273" s="324"/>
      <c r="G273" s="324"/>
      <c r="H273" s="324"/>
      <c r="I273" s="324"/>
      <c r="J273" s="324"/>
      <c r="K273" s="324"/>
      <c r="L273" s="324"/>
      <c r="M273" s="324"/>
      <c r="AK273" s="324"/>
    </row>
    <row r="274" spans="1:37" ht="2.25" customHeight="1">
      <c r="A274" s="324"/>
      <c r="B274" s="324"/>
      <c r="C274" s="324"/>
      <c r="D274" s="324"/>
      <c r="E274" s="324"/>
      <c r="F274" s="324"/>
      <c r="G274" s="324"/>
      <c r="H274" s="324"/>
      <c r="I274" s="324"/>
      <c r="J274" s="324"/>
      <c r="K274" s="324"/>
      <c r="L274" s="324"/>
      <c r="M274" s="324"/>
      <c r="AK274" s="324"/>
    </row>
    <row r="275" spans="1:37" ht="12.75" customHeight="1">
      <c r="A275" s="324"/>
      <c r="B275" s="324"/>
      <c r="C275" s="324"/>
      <c r="D275" s="324"/>
      <c r="E275" s="324"/>
      <c r="F275" s="324"/>
      <c r="G275" s="324"/>
      <c r="H275" s="324"/>
      <c r="I275" s="324"/>
      <c r="J275" s="324"/>
      <c r="K275" s="324"/>
      <c r="L275" s="324"/>
      <c r="M275" s="324"/>
      <c r="Y275" s="323"/>
      <c r="AK275" s="324"/>
    </row>
    <row r="276" spans="1:37" ht="2.25" customHeight="1">
      <c r="A276" s="324"/>
      <c r="B276" s="324"/>
      <c r="C276" s="324"/>
      <c r="D276" s="324"/>
      <c r="E276" s="324"/>
      <c r="F276" s="324"/>
      <c r="G276" s="324"/>
      <c r="H276" s="324"/>
      <c r="I276" s="324"/>
      <c r="J276" s="324"/>
      <c r="K276" s="324"/>
      <c r="L276" s="324"/>
      <c r="M276" s="324"/>
      <c r="AK276" s="324"/>
    </row>
    <row r="277" spans="1:37" ht="12.75" customHeight="1">
      <c r="A277" s="324"/>
      <c r="B277" s="324"/>
      <c r="C277" s="324"/>
      <c r="D277" s="324"/>
      <c r="E277" s="324"/>
      <c r="F277" s="324"/>
      <c r="G277" s="324"/>
      <c r="H277" s="324"/>
      <c r="I277" s="324"/>
      <c r="J277" s="324"/>
      <c r="K277" s="324"/>
      <c r="L277" s="324"/>
      <c r="M277" s="324"/>
      <c r="AK277" s="324"/>
    </row>
    <row r="278" spans="1:37" ht="2.25" customHeight="1">
      <c r="A278" s="324"/>
      <c r="B278" s="324"/>
      <c r="C278" s="324"/>
      <c r="D278" s="324"/>
      <c r="E278" s="324"/>
      <c r="F278" s="324"/>
      <c r="G278" s="324"/>
      <c r="H278" s="324"/>
      <c r="I278" s="324"/>
      <c r="J278" s="324"/>
      <c r="K278" s="324"/>
      <c r="L278" s="324"/>
      <c r="M278" s="324"/>
      <c r="AK278" s="324"/>
    </row>
    <row r="279" spans="1:37" ht="12.75" customHeight="1">
      <c r="A279" s="324"/>
      <c r="B279" s="324"/>
      <c r="C279" s="324"/>
      <c r="D279" s="324"/>
      <c r="E279" s="324"/>
      <c r="F279" s="324"/>
      <c r="G279" s="324"/>
      <c r="H279" s="324"/>
      <c r="I279" s="324"/>
      <c r="J279" s="324"/>
      <c r="K279" s="324"/>
      <c r="L279" s="324"/>
      <c r="M279" s="324"/>
      <c r="AA279" s="323"/>
      <c r="AB279" s="354"/>
      <c r="AC279" s="354"/>
      <c r="AD279" s="354"/>
      <c r="AE279" s="354"/>
      <c r="AF279" s="354"/>
      <c r="AG279" s="354"/>
      <c r="AH279" s="354"/>
      <c r="AI279" s="354"/>
      <c r="AJ279" s="354"/>
      <c r="AK279" s="324"/>
    </row>
    <row r="280" spans="1:37" ht="2.25" customHeight="1">
      <c r="A280" s="324"/>
      <c r="B280" s="324"/>
      <c r="C280" s="324"/>
      <c r="D280" s="324"/>
      <c r="E280" s="324"/>
      <c r="F280" s="324"/>
      <c r="G280" s="324"/>
      <c r="H280" s="324"/>
      <c r="I280" s="324"/>
      <c r="J280" s="324"/>
      <c r="K280" s="324"/>
      <c r="L280" s="324"/>
      <c r="M280" s="324"/>
      <c r="AK280" s="324"/>
    </row>
    <row r="281" spans="1:37" ht="2.25" customHeight="1">
      <c r="B281" s="322"/>
      <c r="E281" s="324"/>
      <c r="F281" s="324"/>
      <c r="G281" s="324"/>
      <c r="H281" s="324"/>
      <c r="I281" s="324"/>
      <c r="J281" s="324"/>
      <c r="K281" s="324"/>
    </row>
    <row r="282" spans="1:37" ht="12.75" customHeight="1">
      <c r="B282" s="318"/>
      <c r="E282" s="324"/>
    </row>
    <row r="283" spans="1:37" ht="2.25" customHeight="1">
      <c r="B283" s="318"/>
    </row>
    <row r="284" spans="1:37" ht="12.75" customHeight="1">
      <c r="B284" s="318"/>
      <c r="Y284" s="323"/>
    </row>
    <row r="285" spans="1:37" ht="2.25" customHeight="1">
      <c r="B285" s="318"/>
    </row>
    <row r="286" spans="1:37" ht="12.75" customHeight="1">
      <c r="B286" s="318"/>
      <c r="AA286" s="323"/>
      <c r="AB286" s="354"/>
      <c r="AC286" s="354"/>
      <c r="AD286" s="354"/>
      <c r="AE286" s="354"/>
      <c r="AF286" s="354"/>
      <c r="AG286" s="354"/>
      <c r="AH286" s="354"/>
      <c r="AI286" s="354"/>
      <c r="AJ286" s="354"/>
    </row>
    <row r="287" spans="1:37" ht="2.25" customHeight="1"/>
    <row r="288" spans="1:37" ht="12.75" customHeight="1">
      <c r="A288" s="324"/>
      <c r="B288" s="324"/>
      <c r="C288" s="324"/>
      <c r="D288" s="324"/>
      <c r="E288" s="324"/>
      <c r="F288" s="324"/>
      <c r="G288" s="324"/>
      <c r="H288" s="324"/>
      <c r="I288" s="324"/>
      <c r="J288" s="324"/>
      <c r="K288" s="324"/>
      <c r="L288" s="324"/>
      <c r="M288" s="324"/>
      <c r="O288" s="324"/>
      <c r="P288" s="325"/>
      <c r="Q288" s="325"/>
      <c r="R288" s="325"/>
      <c r="S288" s="325"/>
      <c r="T288" s="325"/>
      <c r="U288" s="325"/>
      <c r="W288" s="324"/>
      <c r="X288" s="324"/>
      <c r="Y288" s="324"/>
      <c r="Z288" s="324"/>
      <c r="AA288" s="324"/>
      <c r="AB288" s="324"/>
      <c r="AC288" s="324"/>
      <c r="AD288" s="324"/>
      <c r="AE288" s="324"/>
      <c r="AF288" s="324"/>
      <c r="AH288" s="324"/>
      <c r="AI288" s="324"/>
      <c r="AJ288" s="323"/>
      <c r="AK288" s="324"/>
    </row>
    <row r="289" spans="1:37" ht="2.25" customHeight="1">
      <c r="A289" s="324"/>
      <c r="B289" s="324"/>
      <c r="C289" s="324"/>
      <c r="D289" s="324"/>
      <c r="E289" s="324"/>
      <c r="F289" s="324"/>
      <c r="G289" s="324"/>
      <c r="H289" s="324"/>
      <c r="I289" s="324"/>
      <c r="J289" s="324"/>
      <c r="K289" s="324"/>
      <c r="L289" s="324"/>
      <c r="M289" s="324"/>
      <c r="N289" s="324"/>
      <c r="O289" s="324"/>
      <c r="P289" s="325"/>
      <c r="Q289" s="325"/>
      <c r="R289" s="325"/>
      <c r="S289" s="325"/>
      <c r="T289" s="325"/>
      <c r="U289" s="325"/>
      <c r="V289" s="324"/>
      <c r="W289" s="324"/>
      <c r="X289" s="324"/>
      <c r="Y289" s="324"/>
      <c r="Z289" s="324"/>
      <c r="AA289" s="324"/>
      <c r="AB289" s="324"/>
      <c r="AC289" s="324"/>
      <c r="AD289" s="324"/>
      <c r="AE289" s="324"/>
      <c r="AF289" s="324"/>
      <c r="AG289" s="324"/>
      <c r="AH289" s="324"/>
      <c r="AI289" s="324"/>
      <c r="AJ289" s="324"/>
      <c r="AK289" s="324"/>
    </row>
    <row r="290" spans="1:37" ht="12.75" customHeight="1">
      <c r="A290" s="324"/>
      <c r="B290" s="324"/>
      <c r="C290" s="324"/>
      <c r="D290" s="324"/>
      <c r="E290" s="324"/>
      <c r="F290" s="324"/>
      <c r="G290" s="324"/>
      <c r="H290" s="324"/>
      <c r="I290" s="324"/>
      <c r="J290" s="324"/>
      <c r="K290" s="324"/>
      <c r="L290" s="324"/>
      <c r="M290" s="324"/>
      <c r="N290" s="324"/>
      <c r="O290" s="324"/>
      <c r="P290" s="325"/>
      <c r="Q290" s="325"/>
      <c r="R290" s="325"/>
      <c r="S290" s="325"/>
      <c r="T290" s="325"/>
      <c r="U290" s="325"/>
      <c r="V290" s="324"/>
      <c r="W290" s="324"/>
      <c r="X290" s="324"/>
      <c r="Y290" s="324"/>
      <c r="Z290" s="324"/>
      <c r="AA290" s="324"/>
      <c r="AB290" s="324"/>
      <c r="AC290" s="324"/>
      <c r="AD290" s="324"/>
      <c r="AE290" s="324"/>
      <c r="AF290" s="324"/>
      <c r="AG290" s="324"/>
      <c r="AH290" s="324"/>
      <c r="AI290" s="324"/>
      <c r="AJ290" s="324"/>
      <c r="AK290" s="324"/>
    </row>
    <row r="291" spans="1:37" ht="2.25" customHeight="1"/>
    <row r="292" spans="1:37" ht="18" customHeight="1"/>
    <row r="293" spans="1:37" ht="2.25" customHeight="1"/>
    <row r="294" spans="1:37" ht="12.75" customHeight="1">
      <c r="B294" s="318"/>
    </row>
    <row r="295" spans="1:37" ht="2.25" customHeight="1">
      <c r="B295" s="318"/>
    </row>
    <row r="296" spans="1:37" ht="12.75" customHeight="1">
      <c r="B296" s="318"/>
    </row>
    <row r="297" spans="1:37" ht="2.25" customHeight="1">
      <c r="B297" s="318"/>
    </row>
    <row r="298" spans="1:37" ht="12.75" customHeight="1">
      <c r="B298" s="318"/>
      <c r="AB298" s="354"/>
      <c r="AC298" s="354"/>
      <c r="AD298" s="354"/>
      <c r="AE298" s="354"/>
      <c r="AF298" s="354"/>
      <c r="AG298" s="354"/>
      <c r="AH298" s="354"/>
      <c r="AI298" s="354"/>
      <c r="AJ298" s="354"/>
    </row>
    <row r="299" spans="1:37" ht="2.25" customHeight="1"/>
    <row r="300" spans="1:37" ht="12.75" customHeight="1">
      <c r="A300" s="332"/>
      <c r="B300" s="322"/>
      <c r="C300" s="332"/>
      <c r="D300" s="332"/>
      <c r="E300" s="332"/>
      <c r="F300" s="332"/>
      <c r="G300" s="332"/>
      <c r="H300" s="332"/>
      <c r="I300" s="332"/>
      <c r="J300" s="332"/>
      <c r="K300" s="332"/>
      <c r="L300" s="332"/>
      <c r="M300" s="332"/>
      <c r="N300" s="332"/>
      <c r="O300" s="332"/>
      <c r="P300" s="332"/>
      <c r="Q300" s="332"/>
      <c r="R300" s="332"/>
      <c r="S300" s="332"/>
      <c r="T300" s="332"/>
      <c r="U300" s="332"/>
      <c r="V300" s="332"/>
      <c r="W300" s="332"/>
      <c r="X300" s="332"/>
      <c r="Y300" s="332"/>
      <c r="Z300" s="332"/>
      <c r="AA300" s="332"/>
      <c r="AB300" s="332"/>
      <c r="AC300" s="332"/>
      <c r="AD300" s="332"/>
      <c r="AE300" s="332"/>
      <c r="AF300" s="332"/>
      <c r="AG300" s="332"/>
      <c r="AH300" s="332"/>
      <c r="AI300" s="332"/>
      <c r="AJ300" s="349"/>
      <c r="AK300" s="332"/>
    </row>
    <row r="301" spans="1:37" ht="2.25" customHeight="1"/>
    <row r="302" spans="1:37" ht="12.75" customHeight="1">
      <c r="A302" s="324"/>
      <c r="B302" s="324"/>
      <c r="C302" s="324"/>
      <c r="D302" s="324"/>
      <c r="E302" s="324"/>
      <c r="F302" s="324"/>
      <c r="G302" s="324"/>
      <c r="H302" s="324"/>
      <c r="I302" s="324"/>
      <c r="J302" s="324"/>
      <c r="K302" s="324"/>
      <c r="L302" s="324"/>
      <c r="M302" s="324"/>
      <c r="X302" s="323"/>
      <c r="Y302" s="324"/>
      <c r="Z302" s="324"/>
      <c r="AA302" s="324"/>
      <c r="AB302" s="324"/>
      <c r="AC302" s="324"/>
      <c r="AK302" s="324"/>
    </row>
    <row r="303" spans="1:37" ht="2.25" customHeight="1">
      <c r="A303" s="324"/>
      <c r="B303" s="324"/>
      <c r="C303" s="324"/>
      <c r="D303" s="324"/>
      <c r="E303" s="324"/>
      <c r="F303" s="324"/>
      <c r="G303" s="324"/>
      <c r="H303" s="324"/>
      <c r="I303" s="324"/>
      <c r="J303" s="324"/>
      <c r="K303" s="324"/>
      <c r="L303" s="324"/>
      <c r="M303" s="324"/>
      <c r="W303" s="324"/>
      <c r="X303" s="324"/>
      <c r="Y303" s="324"/>
      <c r="Z303" s="324"/>
      <c r="AA303" s="324"/>
      <c r="AB303" s="324"/>
      <c r="AC303" s="324"/>
      <c r="AK303" s="324"/>
    </row>
    <row r="304" spans="1:37" ht="12.75" customHeight="1">
      <c r="A304" s="324"/>
      <c r="B304" s="324"/>
      <c r="C304" s="324"/>
      <c r="D304" s="324"/>
      <c r="E304" s="324"/>
      <c r="F304" s="324"/>
      <c r="G304" s="324"/>
      <c r="H304" s="324"/>
      <c r="I304" s="324"/>
      <c r="J304" s="324"/>
      <c r="K304" s="324"/>
      <c r="L304" s="324"/>
      <c r="M304" s="324"/>
      <c r="W304" s="324"/>
      <c r="X304" s="323"/>
      <c r="Y304" s="324"/>
      <c r="Z304" s="324"/>
      <c r="AA304" s="324"/>
      <c r="AB304" s="324"/>
      <c r="AC304" s="324"/>
      <c r="AJ304" s="323"/>
      <c r="AK304" s="324"/>
    </row>
    <row r="305" spans="1:37" ht="2.25" customHeight="1">
      <c r="A305" s="324"/>
      <c r="B305" s="331"/>
      <c r="C305" s="324"/>
      <c r="D305" s="324"/>
      <c r="E305" s="324"/>
      <c r="F305" s="324"/>
      <c r="G305" s="324"/>
      <c r="H305" s="324"/>
      <c r="I305" s="324"/>
      <c r="J305" s="324"/>
      <c r="K305" s="324"/>
      <c r="L305" s="324"/>
      <c r="M305" s="324"/>
      <c r="AK305" s="324"/>
    </row>
    <row r="306" spans="1:37" ht="12.75" customHeight="1">
      <c r="A306" s="324"/>
      <c r="B306" s="324"/>
      <c r="C306" s="324"/>
      <c r="D306" s="324"/>
      <c r="E306" s="324"/>
      <c r="F306" s="324"/>
      <c r="G306" s="324"/>
      <c r="H306" s="324"/>
      <c r="I306" s="324"/>
      <c r="J306" s="324"/>
      <c r="K306" s="324"/>
      <c r="L306" s="324"/>
      <c r="M306" s="324"/>
      <c r="N306" s="358"/>
      <c r="O306" s="358"/>
      <c r="P306" s="358"/>
      <c r="Q306" s="358"/>
      <c r="R306" s="358"/>
      <c r="S306" s="358"/>
      <c r="T306" s="358"/>
      <c r="U306" s="358"/>
      <c r="V306" s="358"/>
      <c r="W306" s="358"/>
      <c r="X306" s="358"/>
      <c r="Y306" s="358"/>
      <c r="Z306" s="358"/>
      <c r="AA306" s="358"/>
      <c r="AB306" s="358"/>
      <c r="AC306" s="358"/>
      <c r="AD306" s="358"/>
      <c r="AE306" s="358"/>
      <c r="AF306" s="358"/>
      <c r="AG306" s="358"/>
      <c r="AH306" s="358"/>
      <c r="AI306" s="358"/>
      <c r="AJ306" s="358"/>
      <c r="AK306" s="324"/>
    </row>
    <row r="307" spans="1:37" ht="2.25" customHeight="1">
      <c r="A307" s="324"/>
      <c r="B307" s="324"/>
      <c r="C307" s="324"/>
      <c r="D307" s="324"/>
      <c r="E307" s="324"/>
      <c r="F307" s="324"/>
      <c r="G307" s="324"/>
      <c r="H307" s="324"/>
      <c r="I307" s="324"/>
      <c r="J307" s="324"/>
      <c r="K307" s="324"/>
      <c r="L307" s="324"/>
      <c r="M307" s="324"/>
      <c r="N307" s="358"/>
      <c r="O307" s="358"/>
      <c r="P307" s="358"/>
      <c r="Q307" s="358"/>
      <c r="R307" s="358"/>
      <c r="S307" s="358"/>
      <c r="T307" s="358"/>
      <c r="U307" s="358"/>
      <c r="V307" s="358"/>
      <c r="W307" s="358"/>
      <c r="X307" s="358"/>
      <c r="Y307" s="358"/>
      <c r="Z307" s="358"/>
      <c r="AA307" s="358"/>
      <c r="AB307" s="358"/>
      <c r="AC307" s="358"/>
      <c r="AD307" s="358"/>
      <c r="AE307" s="358"/>
      <c r="AF307" s="358"/>
      <c r="AG307" s="358"/>
      <c r="AH307" s="358"/>
      <c r="AI307" s="358"/>
      <c r="AJ307" s="358"/>
      <c r="AK307" s="324"/>
    </row>
    <row r="308" spans="1:37" ht="12.75" customHeight="1">
      <c r="A308" s="324"/>
      <c r="B308" s="324"/>
      <c r="C308" s="324"/>
      <c r="D308" s="324"/>
      <c r="E308" s="324"/>
      <c r="F308" s="324"/>
      <c r="G308" s="324"/>
      <c r="H308" s="324"/>
      <c r="I308" s="324"/>
      <c r="J308" s="324"/>
      <c r="K308" s="324"/>
      <c r="L308" s="324"/>
      <c r="M308" s="324"/>
      <c r="N308" s="358"/>
      <c r="O308" s="358"/>
      <c r="P308" s="358"/>
      <c r="Q308" s="358"/>
      <c r="R308" s="358"/>
      <c r="S308" s="358"/>
      <c r="T308" s="358"/>
      <c r="U308" s="358"/>
      <c r="V308" s="358"/>
      <c r="W308" s="358"/>
      <c r="X308" s="358"/>
      <c r="Y308" s="358"/>
      <c r="Z308" s="358"/>
      <c r="AA308" s="358"/>
      <c r="AB308" s="358"/>
      <c r="AC308" s="358"/>
      <c r="AD308" s="358"/>
      <c r="AE308" s="358"/>
      <c r="AF308" s="358"/>
      <c r="AG308" s="358"/>
      <c r="AH308" s="358"/>
      <c r="AI308" s="358"/>
      <c r="AJ308" s="358"/>
      <c r="AK308" s="324"/>
    </row>
    <row r="309" spans="1:37" ht="2.25" customHeight="1">
      <c r="A309" s="324"/>
      <c r="B309" s="324"/>
      <c r="C309" s="324"/>
      <c r="D309" s="324"/>
      <c r="E309" s="324"/>
      <c r="F309" s="324"/>
      <c r="G309" s="324"/>
      <c r="H309" s="324"/>
      <c r="I309" s="324"/>
      <c r="J309" s="324"/>
      <c r="K309" s="324"/>
      <c r="L309" s="324"/>
      <c r="M309" s="324"/>
      <c r="AK309" s="324"/>
    </row>
    <row r="310" spans="1:37" ht="12.75" customHeight="1">
      <c r="A310" s="324"/>
      <c r="B310" s="324"/>
      <c r="C310" s="324"/>
      <c r="D310" s="324"/>
      <c r="E310" s="324"/>
      <c r="F310" s="324"/>
      <c r="G310" s="324"/>
      <c r="H310" s="324"/>
      <c r="I310" s="324"/>
      <c r="J310" s="324"/>
      <c r="K310" s="324"/>
      <c r="L310" s="324"/>
      <c r="M310" s="324"/>
      <c r="AK310" s="324"/>
    </row>
    <row r="311" spans="1:37" ht="2.25" customHeight="1">
      <c r="B311" s="322"/>
      <c r="E311" s="324"/>
      <c r="F311" s="324"/>
      <c r="G311" s="324"/>
      <c r="H311" s="324"/>
      <c r="I311" s="324"/>
      <c r="J311" s="324"/>
      <c r="K311" s="324"/>
    </row>
    <row r="312" spans="1:37" ht="12.75" customHeight="1">
      <c r="B312" s="318"/>
      <c r="E312" s="324"/>
      <c r="F312" s="324"/>
      <c r="G312" s="324"/>
      <c r="H312" s="324"/>
      <c r="I312" s="324"/>
      <c r="J312" s="324"/>
      <c r="K312" s="324"/>
      <c r="X312" s="324"/>
      <c r="Y312" s="324"/>
      <c r="Z312" s="324"/>
      <c r="AA312" s="324"/>
      <c r="AB312" s="324"/>
      <c r="AC312" s="324"/>
    </row>
    <row r="313" spans="1:37" ht="2.25" customHeight="1">
      <c r="B313" s="318"/>
      <c r="E313" s="324"/>
      <c r="F313" s="324"/>
      <c r="G313" s="324"/>
      <c r="H313" s="324"/>
      <c r="I313" s="324"/>
      <c r="J313" s="324"/>
      <c r="K313" s="324"/>
      <c r="W313" s="324"/>
      <c r="X313" s="324"/>
      <c r="Y313" s="324"/>
      <c r="Z313" s="324"/>
      <c r="AA313" s="324"/>
      <c r="AB313" s="324"/>
      <c r="AC313" s="324"/>
    </row>
    <row r="314" spans="1:37" ht="12.75" customHeight="1">
      <c r="B314" s="318"/>
      <c r="E314" s="324"/>
      <c r="F314" s="324"/>
      <c r="G314" s="324"/>
      <c r="H314" s="324"/>
      <c r="I314" s="324"/>
      <c r="J314" s="324"/>
      <c r="K314" s="324"/>
      <c r="X314" s="324"/>
      <c r="Y314" s="324"/>
      <c r="Z314" s="324"/>
      <c r="AA314" s="324"/>
      <c r="AB314" s="324"/>
      <c r="AC314" s="324"/>
    </row>
    <row r="315" spans="1:37" ht="2.25" customHeight="1"/>
    <row r="316" spans="1:37" ht="12.75" customHeight="1">
      <c r="B316" s="318"/>
      <c r="E316" s="324"/>
    </row>
    <row r="317" spans="1:37" ht="2.25" customHeight="1">
      <c r="B317" s="318"/>
    </row>
    <row r="318" spans="1:37" ht="12.75" customHeight="1">
      <c r="A318" s="324"/>
      <c r="B318" s="318"/>
      <c r="C318" s="324"/>
      <c r="D318" s="324"/>
      <c r="L318" s="324"/>
      <c r="M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4"/>
    </row>
    <row r="319" spans="1:37" ht="2.25" customHeight="1">
      <c r="A319" s="324"/>
      <c r="B319" s="318"/>
      <c r="C319" s="324"/>
      <c r="D319" s="324"/>
      <c r="L319" s="324"/>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4"/>
    </row>
    <row r="320" spans="1:37" ht="12.75" customHeight="1">
      <c r="A320" s="324"/>
      <c r="B320" s="318"/>
      <c r="C320" s="324"/>
      <c r="D320" s="324"/>
      <c r="L320" s="324"/>
      <c r="M320" s="324"/>
      <c r="P320" s="324"/>
      <c r="Q320" s="324"/>
      <c r="R320" s="324"/>
      <c r="S320" s="324"/>
      <c r="T320" s="324"/>
      <c r="U320" s="324"/>
      <c r="V320" s="324"/>
      <c r="W320" s="324"/>
      <c r="X320" s="324"/>
      <c r="Y320" s="324"/>
      <c r="Z320" s="324"/>
      <c r="AA320" s="324"/>
      <c r="AB320" s="324"/>
      <c r="AC320" s="324"/>
      <c r="AD320" s="323"/>
      <c r="AE320" s="359"/>
      <c r="AF320" s="359"/>
      <c r="AG320" s="359"/>
      <c r="AH320" s="359"/>
      <c r="AI320" s="359"/>
      <c r="AJ320" s="359"/>
      <c r="AK320" s="324"/>
    </row>
    <row r="321" spans="1:37" ht="2.25" customHeight="1">
      <c r="E321" s="319"/>
      <c r="F321" s="319"/>
      <c r="G321" s="319"/>
      <c r="H321" s="319"/>
      <c r="I321" s="319"/>
      <c r="J321" s="319"/>
      <c r="K321" s="319"/>
    </row>
    <row r="322" spans="1:37" ht="30" customHeight="1">
      <c r="A322" s="324"/>
      <c r="B322" s="318"/>
      <c r="C322" s="324"/>
      <c r="D322" s="324"/>
      <c r="E322" s="324"/>
      <c r="F322" s="324"/>
      <c r="G322" s="324"/>
      <c r="H322" s="324"/>
      <c r="I322" s="324"/>
      <c r="J322" s="324"/>
      <c r="K322" s="324"/>
      <c r="L322" s="324"/>
      <c r="M322" s="324"/>
      <c r="O322" s="324"/>
      <c r="P322" s="324"/>
      <c r="Q322" s="324"/>
      <c r="R322" s="324"/>
      <c r="S322" s="324"/>
      <c r="T322" s="324"/>
      <c r="U322" s="324"/>
      <c r="V322" s="324"/>
      <c r="W322" s="324"/>
      <c r="X322" s="324"/>
      <c r="Y322" s="324"/>
      <c r="Z322" s="324"/>
      <c r="AA322" s="324"/>
      <c r="AB322" s="324"/>
      <c r="AC322" s="324"/>
      <c r="AD322" s="323"/>
      <c r="AE322" s="359"/>
      <c r="AF322" s="359"/>
      <c r="AG322" s="359"/>
      <c r="AH322" s="359"/>
      <c r="AI322" s="359"/>
      <c r="AJ322" s="359"/>
      <c r="AK322" s="324"/>
    </row>
    <row r="323" spans="1:37" ht="2.25" customHeight="1">
      <c r="A323" s="324"/>
      <c r="B323" s="318"/>
      <c r="C323" s="324"/>
      <c r="D323" s="324"/>
      <c r="L323" s="324"/>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4"/>
    </row>
    <row r="324" spans="1:37" ht="9" customHeight="1">
      <c r="A324" s="324"/>
      <c r="B324" s="318"/>
      <c r="C324" s="324"/>
      <c r="D324" s="324"/>
      <c r="L324" s="324"/>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4"/>
    </row>
    <row r="325" spans="1:37" s="336" customFormat="1" ht="9.75" customHeight="1">
      <c r="B325" s="342"/>
    </row>
    <row r="326" spans="1:37" s="336" customFormat="1" ht="9.75" customHeight="1">
      <c r="B326" s="342"/>
      <c r="F326" s="352"/>
      <c r="G326" s="352"/>
      <c r="H326" s="352"/>
      <c r="I326" s="352"/>
      <c r="J326" s="352"/>
      <c r="K326" s="352"/>
      <c r="L326" s="352"/>
      <c r="M326" s="352"/>
      <c r="N326" s="352"/>
      <c r="O326" s="352"/>
      <c r="P326" s="352"/>
      <c r="Q326" s="352"/>
      <c r="R326" s="352"/>
      <c r="S326" s="352"/>
      <c r="T326" s="352"/>
      <c r="U326" s="352"/>
      <c r="V326" s="352"/>
      <c r="W326" s="352"/>
      <c r="X326" s="352"/>
      <c r="Y326" s="352"/>
      <c r="Z326" s="352"/>
      <c r="AA326" s="352"/>
      <c r="AB326" s="352"/>
      <c r="AC326" s="352"/>
      <c r="AD326" s="352"/>
      <c r="AE326" s="352"/>
      <c r="AF326" s="352"/>
      <c r="AG326" s="352"/>
      <c r="AH326" s="352"/>
      <c r="AI326" s="352"/>
      <c r="AJ326" s="352"/>
    </row>
    <row r="327" spans="1:37" s="336" customFormat="1" ht="9.75" customHeight="1">
      <c r="B327" s="342"/>
      <c r="F327" s="352"/>
      <c r="G327" s="352"/>
      <c r="H327" s="352"/>
      <c r="I327" s="352"/>
      <c r="J327" s="352"/>
      <c r="K327" s="352"/>
      <c r="L327" s="352"/>
      <c r="M327" s="352"/>
      <c r="N327" s="352"/>
      <c r="O327" s="352"/>
      <c r="P327" s="352"/>
      <c r="Q327" s="352"/>
      <c r="R327" s="352"/>
      <c r="S327" s="352"/>
      <c r="T327" s="352"/>
      <c r="U327" s="352"/>
      <c r="V327" s="352"/>
      <c r="W327" s="352"/>
      <c r="X327" s="352"/>
      <c r="Y327" s="352"/>
      <c r="Z327" s="352"/>
      <c r="AA327" s="352"/>
      <c r="AB327" s="352"/>
      <c r="AC327" s="352"/>
      <c r="AD327" s="352"/>
      <c r="AE327" s="352"/>
      <c r="AF327" s="352"/>
      <c r="AG327" s="352"/>
      <c r="AH327" s="352"/>
      <c r="AI327" s="352"/>
      <c r="AJ327" s="352"/>
    </row>
    <row r="328" spans="1:37" s="336" customFormat="1" ht="9.75" customHeight="1">
      <c r="B328" s="342"/>
      <c r="F328" s="352"/>
      <c r="G328" s="352"/>
      <c r="H328" s="352"/>
      <c r="I328" s="352"/>
      <c r="J328" s="352"/>
      <c r="K328" s="352"/>
      <c r="L328" s="352"/>
      <c r="M328" s="352"/>
      <c r="N328" s="352"/>
      <c r="O328" s="352"/>
      <c r="P328" s="352"/>
      <c r="Q328" s="352"/>
      <c r="R328" s="352"/>
      <c r="S328" s="352"/>
      <c r="T328" s="352"/>
      <c r="U328" s="352"/>
      <c r="V328" s="352"/>
      <c r="W328" s="352"/>
      <c r="X328" s="352"/>
      <c r="Y328" s="352"/>
      <c r="Z328" s="352"/>
      <c r="AA328" s="352"/>
      <c r="AB328" s="352"/>
      <c r="AC328" s="352"/>
      <c r="AD328" s="352"/>
      <c r="AE328" s="352"/>
      <c r="AF328" s="352"/>
      <c r="AG328" s="352"/>
      <c r="AH328" s="352"/>
      <c r="AI328" s="352"/>
      <c r="AJ328" s="352"/>
    </row>
    <row r="329" spans="1:37" s="336" customFormat="1" ht="21" customHeight="1">
      <c r="B329" s="342"/>
      <c r="F329" s="352"/>
      <c r="G329" s="352"/>
      <c r="H329" s="352"/>
      <c r="I329" s="352"/>
      <c r="J329" s="352"/>
      <c r="K329" s="352"/>
      <c r="L329" s="352"/>
      <c r="M329" s="352"/>
      <c r="N329" s="352"/>
      <c r="O329" s="352"/>
      <c r="P329" s="352"/>
      <c r="Q329" s="352"/>
      <c r="R329" s="352"/>
      <c r="S329" s="352"/>
      <c r="T329" s="352"/>
      <c r="U329" s="352"/>
      <c r="V329" s="352"/>
      <c r="W329" s="352"/>
      <c r="X329" s="352"/>
      <c r="Y329" s="352"/>
      <c r="Z329" s="352"/>
      <c r="AA329" s="352"/>
      <c r="AB329" s="352"/>
      <c r="AC329" s="352"/>
      <c r="AD329" s="352"/>
      <c r="AE329" s="352"/>
      <c r="AF329" s="352"/>
      <c r="AG329" s="352"/>
      <c r="AH329" s="352"/>
      <c r="AI329" s="352"/>
      <c r="AJ329" s="352"/>
    </row>
    <row r="330" spans="1:37" ht="12.75" customHeight="1">
      <c r="A330" s="362"/>
      <c r="B330" s="362"/>
      <c r="C330" s="362"/>
      <c r="D330" s="362"/>
      <c r="E330" s="362"/>
      <c r="F330" s="362"/>
      <c r="G330" s="362"/>
      <c r="H330" s="362"/>
      <c r="I330" s="362"/>
      <c r="J330" s="362"/>
      <c r="K330" s="362"/>
      <c r="L330" s="362"/>
      <c r="M330" s="362"/>
      <c r="N330" s="362"/>
      <c r="O330" s="362"/>
      <c r="P330" s="362"/>
      <c r="Q330" s="362"/>
      <c r="R330" s="362"/>
      <c r="S330" s="362"/>
      <c r="T330" s="362"/>
      <c r="U330" s="362"/>
      <c r="V330" s="362"/>
      <c r="AK330" s="319"/>
    </row>
    <row r="331" spans="1:37" ht="10.5" customHeight="1">
      <c r="A331" s="362"/>
      <c r="B331" s="362"/>
      <c r="C331" s="362"/>
      <c r="D331" s="362"/>
      <c r="E331" s="362"/>
      <c r="F331" s="362"/>
      <c r="G331" s="362"/>
      <c r="H331" s="362"/>
      <c r="I331" s="362"/>
      <c r="J331" s="362"/>
      <c r="K331" s="362"/>
      <c r="L331" s="362"/>
      <c r="M331" s="362"/>
      <c r="N331" s="362"/>
      <c r="O331" s="362"/>
      <c r="P331" s="362"/>
      <c r="Q331" s="362"/>
      <c r="R331" s="362"/>
      <c r="S331" s="362"/>
      <c r="T331" s="362"/>
      <c r="U331" s="362"/>
      <c r="V331" s="362"/>
      <c r="AD331" s="354"/>
      <c r="AE331" s="354"/>
      <c r="AF331" s="354"/>
      <c r="AG331" s="354"/>
      <c r="AH331" s="354"/>
      <c r="AI331" s="354"/>
      <c r="AJ331" s="354"/>
    </row>
    <row r="332" spans="1:37" ht="17.25" customHeight="1">
      <c r="K332" s="343"/>
      <c r="L332" s="343"/>
      <c r="M332" s="343"/>
      <c r="N332" s="343"/>
      <c r="O332" s="343"/>
      <c r="P332" s="343"/>
      <c r="Q332" s="343"/>
      <c r="R332" s="343"/>
      <c r="S332" s="343"/>
      <c r="T332" s="343"/>
    </row>
    <row r="333" spans="1:37" ht="13.5" customHeight="1">
      <c r="B333" s="363"/>
      <c r="Z333" s="324"/>
      <c r="AA333" s="324"/>
      <c r="AB333" s="324"/>
      <c r="AC333" s="324"/>
      <c r="AD333" s="324"/>
    </row>
    <row r="334" spans="1:37" ht="15.75" customHeight="1">
      <c r="B334" s="326"/>
      <c r="Y334" s="323"/>
      <c r="Z334" s="324"/>
      <c r="AA334" s="324"/>
      <c r="AB334" s="324"/>
      <c r="AC334" s="324"/>
      <c r="AD334" s="324"/>
      <c r="AE334" s="324"/>
      <c r="AF334" s="324"/>
      <c r="AG334" s="324"/>
      <c r="AH334" s="324"/>
      <c r="AI334" s="324"/>
      <c r="AJ334" s="325"/>
    </row>
    <row r="335" spans="1:37" ht="2.25" customHeight="1">
      <c r="B335" s="322"/>
      <c r="Y335" s="323"/>
      <c r="AJ335" s="326"/>
    </row>
    <row r="336" spans="1:37" ht="15.75" customHeight="1">
      <c r="K336" s="324"/>
      <c r="X336" s="325"/>
      <c r="Y336" s="323"/>
      <c r="Z336" s="324"/>
      <c r="AA336" s="324"/>
      <c r="AB336" s="324"/>
      <c r="AC336" s="324"/>
      <c r="AD336" s="324"/>
      <c r="AE336" s="324"/>
      <c r="AF336" s="324"/>
      <c r="AG336" s="324"/>
      <c r="AH336" s="324"/>
      <c r="AI336" s="324"/>
    </row>
    <row r="337" spans="1:37" ht="13.5" customHeight="1">
      <c r="X337" s="325"/>
      <c r="Y337" s="325"/>
      <c r="Z337" s="324"/>
      <c r="AA337" s="324"/>
      <c r="AB337" s="324"/>
      <c r="AC337" s="324"/>
      <c r="AD337" s="324"/>
      <c r="AE337" s="324"/>
      <c r="AF337" s="324"/>
      <c r="AG337" s="324"/>
      <c r="AH337" s="324"/>
      <c r="AI337" s="324"/>
    </row>
    <row r="338" spans="1:37" ht="13.5" customHeight="1">
      <c r="X338" s="325"/>
      <c r="Y338" s="325"/>
      <c r="Z338" s="324"/>
      <c r="AA338" s="324"/>
      <c r="AB338" s="324"/>
      <c r="AC338" s="324"/>
      <c r="AD338" s="324"/>
      <c r="AE338" s="324"/>
      <c r="AF338" s="324"/>
      <c r="AG338" s="324"/>
      <c r="AH338" s="324"/>
      <c r="AI338" s="324"/>
    </row>
    <row r="339" spans="1:37" ht="13.5" customHeight="1">
      <c r="X339" s="325"/>
      <c r="Y339" s="325"/>
      <c r="Z339" s="324"/>
      <c r="AA339" s="324"/>
      <c r="AB339" s="324"/>
      <c r="AC339" s="324"/>
      <c r="AD339" s="324"/>
      <c r="AE339" s="324"/>
      <c r="AF339" s="324"/>
      <c r="AG339" s="324"/>
      <c r="AH339" s="324"/>
      <c r="AI339" s="324"/>
    </row>
    <row r="340" spans="1:37" ht="13.5" customHeight="1">
      <c r="X340" s="324"/>
      <c r="Y340" s="324"/>
      <c r="Z340" s="324"/>
      <c r="AA340" s="324"/>
      <c r="AB340" s="324"/>
      <c r="AC340" s="324"/>
      <c r="AD340" s="324"/>
      <c r="AE340" s="324"/>
      <c r="AF340" s="324"/>
      <c r="AG340" s="324"/>
      <c r="AH340" s="324"/>
      <c r="AI340" s="324"/>
    </row>
    <row r="341" spans="1:37" ht="2.25" customHeight="1">
      <c r="B341" s="322"/>
      <c r="Y341" s="323"/>
      <c r="AJ341" s="326"/>
    </row>
    <row r="342" spans="1:37" ht="12.75" customHeight="1">
      <c r="E342" s="324"/>
      <c r="Y342" s="323"/>
    </row>
    <row r="343" spans="1:37" ht="2.25" customHeight="1">
      <c r="B343" s="322"/>
    </row>
    <row r="344" spans="1:37" ht="2.25" customHeight="1">
      <c r="B344" s="322"/>
    </row>
    <row r="345" spans="1:37" ht="12.75" customHeight="1">
      <c r="B345" s="326"/>
    </row>
    <row r="346" spans="1:37" ht="2.25" customHeight="1">
      <c r="B346" s="322"/>
    </row>
    <row r="347" spans="1:37" ht="2.25" customHeight="1">
      <c r="B347" s="322"/>
    </row>
    <row r="348" spans="1:37" ht="12.75" customHeight="1">
      <c r="A348" s="324"/>
      <c r="B348" s="324"/>
      <c r="C348" s="324"/>
      <c r="D348" s="324"/>
      <c r="E348" s="324"/>
      <c r="F348" s="324"/>
      <c r="G348" s="324"/>
      <c r="H348" s="324"/>
      <c r="I348" s="324"/>
      <c r="J348" s="324"/>
      <c r="K348" s="324"/>
      <c r="L348" s="324"/>
      <c r="M348" s="324"/>
      <c r="AK348" s="324"/>
    </row>
    <row r="349" spans="1:37" ht="2.25" customHeight="1">
      <c r="A349" s="324"/>
      <c r="B349" s="324"/>
      <c r="C349" s="324"/>
      <c r="D349" s="324"/>
      <c r="E349" s="324"/>
      <c r="F349" s="324"/>
      <c r="G349" s="324"/>
      <c r="H349" s="324"/>
      <c r="I349" s="324"/>
      <c r="J349" s="324"/>
      <c r="K349" s="324"/>
      <c r="L349" s="324"/>
      <c r="M349" s="324"/>
      <c r="AK349" s="324"/>
    </row>
    <row r="350" spans="1:37" ht="12.75" customHeight="1">
      <c r="A350" s="324"/>
      <c r="B350" s="324"/>
      <c r="C350" s="324"/>
      <c r="D350" s="324"/>
      <c r="E350" s="324"/>
      <c r="F350" s="324"/>
      <c r="G350" s="324"/>
      <c r="H350" s="324"/>
      <c r="I350" s="324"/>
      <c r="J350" s="324"/>
      <c r="K350" s="324"/>
      <c r="L350" s="324"/>
      <c r="M350" s="324"/>
      <c r="AK350" s="324"/>
    </row>
    <row r="351" spans="1:37" ht="2.25" customHeight="1">
      <c r="A351" s="324"/>
      <c r="B351" s="331"/>
      <c r="C351" s="324"/>
      <c r="D351" s="324"/>
      <c r="E351" s="324"/>
      <c r="F351" s="324"/>
      <c r="L351" s="324"/>
      <c r="M351" s="324"/>
      <c r="AK351" s="324"/>
    </row>
    <row r="352" spans="1:37" ht="12.75" customHeight="1">
      <c r="A352" s="324"/>
      <c r="B352" s="332"/>
      <c r="C352" s="332"/>
      <c r="D352" s="332"/>
      <c r="E352" s="332"/>
      <c r="F352" s="332"/>
      <c r="G352" s="332"/>
      <c r="H352" s="332"/>
      <c r="I352" s="332"/>
      <c r="J352" s="332"/>
      <c r="K352" s="332"/>
      <c r="L352" s="324"/>
      <c r="M352" s="324"/>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c r="AI352" s="333"/>
      <c r="AJ352" s="333"/>
      <c r="AK352" s="324"/>
    </row>
    <row r="353" spans="1:37" ht="2.25" customHeight="1">
      <c r="A353" s="324"/>
      <c r="B353" s="332"/>
      <c r="C353" s="324"/>
      <c r="D353" s="324"/>
      <c r="E353" s="332"/>
      <c r="F353" s="332"/>
      <c r="G353" s="332"/>
      <c r="H353" s="332"/>
      <c r="I353" s="332"/>
      <c r="J353" s="332"/>
      <c r="K353" s="332"/>
      <c r="L353" s="324"/>
      <c r="M353" s="324"/>
      <c r="N353" s="326"/>
      <c r="O353" s="326"/>
      <c r="P353" s="326"/>
      <c r="Q353" s="326"/>
      <c r="R353" s="326"/>
      <c r="S353" s="326"/>
      <c r="T353" s="326"/>
      <c r="U353" s="326"/>
      <c r="V353" s="326"/>
      <c r="W353" s="326"/>
      <c r="X353" s="326"/>
      <c r="Y353" s="326"/>
      <c r="Z353" s="326"/>
      <c r="AA353" s="326"/>
      <c r="AB353" s="326"/>
      <c r="AC353" s="326"/>
      <c r="AD353" s="326"/>
      <c r="AE353" s="326"/>
      <c r="AF353" s="326"/>
      <c r="AG353" s="326"/>
      <c r="AH353" s="326"/>
      <c r="AI353" s="326"/>
      <c r="AJ353" s="326"/>
      <c r="AK353" s="324"/>
    </row>
    <row r="354" spans="1:37" ht="12.75" customHeight="1">
      <c r="A354" s="324"/>
      <c r="B354" s="332"/>
      <c r="C354" s="332"/>
      <c r="D354" s="332"/>
      <c r="E354" s="332"/>
      <c r="F354" s="332"/>
      <c r="G354" s="332"/>
      <c r="H354" s="332"/>
      <c r="I354" s="332"/>
      <c r="J354" s="332"/>
      <c r="K354" s="332"/>
      <c r="L354" s="324"/>
      <c r="M354" s="324"/>
      <c r="AK354" s="324"/>
    </row>
    <row r="355" spans="1:37" ht="2.25" customHeight="1">
      <c r="A355" s="324"/>
      <c r="B355" s="332"/>
      <c r="C355" s="324"/>
      <c r="D355" s="324"/>
      <c r="E355" s="332"/>
      <c r="F355" s="332"/>
      <c r="G355" s="332"/>
      <c r="H355" s="332"/>
      <c r="I355" s="332"/>
      <c r="J355" s="332"/>
      <c r="K355" s="332"/>
      <c r="L355" s="324"/>
      <c r="M355" s="324"/>
      <c r="N355" s="326"/>
      <c r="O355" s="326"/>
      <c r="P355" s="326"/>
      <c r="Q355" s="326"/>
      <c r="R355" s="326"/>
      <c r="S355" s="326"/>
      <c r="T355" s="326"/>
      <c r="U355" s="326"/>
      <c r="V355" s="326"/>
      <c r="W355" s="326"/>
      <c r="X355" s="326"/>
      <c r="Y355" s="326"/>
      <c r="Z355" s="326"/>
      <c r="AA355" s="326"/>
      <c r="AB355" s="326"/>
      <c r="AC355" s="326"/>
      <c r="AD355" s="326"/>
      <c r="AE355" s="326"/>
      <c r="AF355" s="326"/>
      <c r="AG355" s="326"/>
      <c r="AH355" s="326"/>
      <c r="AI355" s="326"/>
      <c r="AJ355" s="326"/>
      <c r="AK355" s="324"/>
    </row>
    <row r="356" spans="1:37" ht="12.75" customHeight="1">
      <c r="A356" s="324"/>
      <c r="B356" s="332"/>
      <c r="C356" s="332"/>
      <c r="D356" s="332"/>
      <c r="E356" s="332"/>
      <c r="F356" s="332"/>
      <c r="G356" s="332"/>
      <c r="H356" s="332"/>
      <c r="I356" s="332"/>
      <c r="J356" s="332"/>
      <c r="K356" s="332"/>
      <c r="L356" s="324"/>
      <c r="M356" s="324"/>
      <c r="AK356" s="324"/>
    </row>
    <row r="357" spans="1:37" ht="2.25" customHeight="1">
      <c r="A357" s="324"/>
      <c r="B357" s="332"/>
      <c r="C357" s="324"/>
      <c r="D357" s="324"/>
      <c r="E357" s="332"/>
      <c r="F357" s="332"/>
      <c r="G357" s="332"/>
      <c r="H357" s="332"/>
      <c r="I357" s="332"/>
      <c r="J357" s="332"/>
      <c r="K357" s="332"/>
      <c r="L357" s="324"/>
      <c r="M357" s="324"/>
      <c r="N357" s="326"/>
      <c r="O357" s="326"/>
      <c r="P357" s="326"/>
      <c r="Q357" s="326"/>
      <c r="R357" s="326"/>
      <c r="S357" s="326"/>
      <c r="T357" s="326"/>
      <c r="U357" s="326"/>
      <c r="V357" s="326"/>
      <c r="W357" s="326"/>
      <c r="X357" s="326"/>
      <c r="Y357" s="326"/>
      <c r="Z357" s="326"/>
      <c r="AA357" s="326"/>
      <c r="AB357" s="326"/>
      <c r="AC357" s="326"/>
      <c r="AD357" s="326"/>
      <c r="AE357" s="326"/>
      <c r="AF357" s="326"/>
      <c r="AG357" s="326"/>
      <c r="AH357" s="326"/>
      <c r="AI357" s="326"/>
      <c r="AJ357" s="326"/>
      <c r="AK357" s="324"/>
    </row>
    <row r="358" spans="1:37" ht="12.75" customHeight="1">
      <c r="A358" s="324"/>
      <c r="B358" s="332"/>
      <c r="C358" s="332"/>
      <c r="D358" s="332"/>
      <c r="E358" s="332"/>
      <c r="F358" s="332"/>
      <c r="G358" s="332"/>
      <c r="H358" s="332"/>
      <c r="I358" s="332"/>
      <c r="J358" s="332"/>
      <c r="K358" s="332"/>
      <c r="L358" s="324"/>
      <c r="M358" s="324"/>
      <c r="AK358" s="324"/>
    </row>
    <row r="359" spans="1:37" ht="2.25" customHeight="1">
      <c r="B359" s="322"/>
    </row>
    <row r="360" spans="1:37" ht="12.75" customHeight="1">
      <c r="A360" s="324"/>
      <c r="B360" s="324"/>
      <c r="C360" s="324"/>
      <c r="D360" s="324"/>
      <c r="E360" s="324"/>
      <c r="F360" s="324"/>
      <c r="G360" s="324"/>
      <c r="H360" s="324"/>
      <c r="I360" s="324"/>
      <c r="J360" s="324"/>
      <c r="K360" s="324"/>
      <c r="L360" s="324"/>
      <c r="M360" s="324"/>
      <c r="N360" s="355"/>
      <c r="O360" s="343"/>
      <c r="P360" s="343"/>
      <c r="Q360" s="343"/>
      <c r="R360" s="356"/>
      <c r="S360" s="355"/>
      <c r="T360" s="355"/>
      <c r="U360" s="355"/>
      <c r="V360" s="357"/>
      <c r="W360" s="343"/>
      <c r="X360" s="343"/>
      <c r="Y360" s="343"/>
      <c r="Z360" s="343"/>
      <c r="AA360" s="355"/>
      <c r="AB360" s="356"/>
      <c r="AC360" s="355"/>
      <c r="AD360" s="355"/>
      <c r="AE360" s="343"/>
      <c r="AF360" s="343"/>
      <c r="AG360" s="343"/>
      <c r="AH360" s="343"/>
      <c r="AI360" s="356"/>
      <c r="AK360" s="324"/>
    </row>
    <row r="361" spans="1:37" ht="2.25" customHeight="1">
      <c r="A361" s="324"/>
      <c r="B361" s="324"/>
      <c r="C361" s="324"/>
      <c r="D361" s="324"/>
      <c r="E361" s="324"/>
      <c r="F361" s="324"/>
      <c r="G361" s="324"/>
      <c r="H361" s="324"/>
      <c r="I361" s="324"/>
      <c r="J361" s="324"/>
      <c r="K361" s="324"/>
      <c r="L361" s="324"/>
      <c r="M361" s="324"/>
      <c r="AK361" s="324"/>
    </row>
    <row r="362" spans="1:37" ht="12.75" customHeight="1">
      <c r="A362" s="324"/>
      <c r="B362" s="324"/>
      <c r="C362" s="324"/>
      <c r="D362" s="324"/>
      <c r="E362" s="324"/>
      <c r="F362" s="324"/>
      <c r="G362" s="324"/>
      <c r="H362" s="324"/>
      <c r="I362" s="324"/>
      <c r="J362" s="324"/>
      <c r="K362" s="324"/>
      <c r="L362" s="324"/>
      <c r="M362" s="324"/>
      <c r="N362" s="343"/>
      <c r="O362" s="343"/>
      <c r="P362" s="343"/>
      <c r="Q362" s="343"/>
      <c r="R362" s="343"/>
      <c r="S362" s="343"/>
      <c r="T362" s="343"/>
      <c r="U362" s="343"/>
      <c r="V362" s="343"/>
      <c r="W362" s="343"/>
      <c r="X362" s="343"/>
      <c r="Y362" s="343"/>
      <c r="Z362" s="343"/>
      <c r="AA362" s="343"/>
      <c r="AB362" s="343"/>
      <c r="AC362" s="343"/>
      <c r="AD362" s="343"/>
      <c r="AE362" s="343"/>
      <c r="AF362" s="343"/>
      <c r="AG362" s="343"/>
      <c r="AH362" s="343"/>
      <c r="AI362" s="343"/>
      <c r="AK362" s="324"/>
    </row>
    <row r="363" spans="1:37" ht="1.5" customHeight="1">
      <c r="A363" s="324"/>
      <c r="B363" s="324"/>
      <c r="C363" s="324"/>
      <c r="D363" s="324"/>
      <c r="E363" s="324"/>
      <c r="F363" s="324"/>
      <c r="G363" s="324"/>
      <c r="H363" s="324"/>
      <c r="I363" s="324"/>
      <c r="J363" s="324"/>
      <c r="K363" s="324"/>
      <c r="L363" s="324"/>
      <c r="M363" s="324"/>
      <c r="AK363" s="324"/>
    </row>
    <row r="364" spans="1:37" ht="12.75" customHeight="1">
      <c r="A364" s="324"/>
      <c r="B364" s="324"/>
      <c r="C364" s="324"/>
      <c r="D364" s="324"/>
      <c r="E364" s="324"/>
      <c r="F364" s="324"/>
      <c r="G364" s="324"/>
      <c r="H364" s="324"/>
      <c r="I364" s="324"/>
      <c r="J364" s="324"/>
      <c r="K364" s="324"/>
      <c r="L364" s="324"/>
      <c r="M364" s="324"/>
      <c r="N364" s="355"/>
      <c r="O364" s="343"/>
      <c r="P364" s="343"/>
      <c r="Q364" s="343"/>
      <c r="R364" s="356"/>
      <c r="S364" s="355"/>
      <c r="T364" s="355"/>
      <c r="U364" s="360"/>
      <c r="V364" s="343"/>
      <c r="W364" s="343"/>
      <c r="X364" s="343"/>
      <c r="Y364" s="355"/>
      <c r="Z364" s="343"/>
      <c r="AA364" s="343"/>
      <c r="AB364" s="361"/>
      <c r="AC364" s="361"/>
      <c r="AD364" s="355"/>
      <c r="AE364" s="343"/>
      <c r="AF364" s="343"/>
      <c r="AG364" s="343"/>
      <c r="AH364" s="343"/>
      <c r="AI364" s="356"/>
      <c r="AK364" s="324"/>
    </row>
    <row r="365" spans="1:37" ht="1.5" customHeight="1">
      <c r="A365" s="324"/>
      <c r="B365" s="324"/>
      <c r="C365" s="324"/>
      <c r="D365" s="324"/>
      <c r="E365" s="324"/>
      <c r="F365" s="324"/>
      <c r="G365" s="324"/>
      <c r="H365" s="324"/>
      <c r="I365" s="324"/>
      <c r="J365" s="324"/>
      <c r="K365" s="324"/>
      <c r="L365" s="324"/>
      <c r="M365" s="324"/>
      <c r="AK365" s="324"/>
    </row>
    <row r="366" spans="1:37" ht="12.75" customHeight="1">
      <c r="A366" s="324"/>
      <c r="B366" s="324"/>
      <c r="C366" s="324"/>
      <c r="D366" s="324"/>
      <c r="E366" s="324"/>
      <c r="F366" s="324"/>
      <c r="G366" s="324"/>
      <c r="H366" s="324"/>
      <c r="I366" s="324"/>
      <c r="J366" s="324"/>
      <c r="K366" s="324"/>
      <c r="L366" s="324"/>
      <c r="M366" s="324"/>
      <c r="N366" s="343"/>
      <c r="O366" s="343"/>
      <c r="P366" s="343"/>
      <c r="Q366" s="343"/>
      <c r="R366" s="343"/>
      <c r="S366" s="343"/>
      <c r="T366" s="343"/>
      <c r="U366" s="343"/>
      <c r="V366" s="343"/>
      <c r="W366" s="343"/>
      <c r="X366" s="343"/>
      <c r="Y366" s="343"/>
      <c r="Z366" s="343"/>
      <c r="AA366" s="343"/>
      <c r="AB366" s="343"/>
      <c r="AC366" s="343"/>
      <c r="AD366" s="343"/>
      <c r="AE366" s="343"/>
      <c r="AF366" s="343"/>
      <c r="AG366" s="343"/>
      <c r="AH366" s="343"/>
      <c r="AI366" s="343"/>
      <c r="AK366" s="324"/>
    </row>
    <row r="367" spans="1:37" ht="1.5" customHeight="1">
      <c r="A367" s="324"/>
      <c r="B367" s="324"/>
      <c r="C367" s="324"/>
      <c r="D367" s="324"/>
      <c r="E367" s="324"/>
      <c r="F367" s="324"/>
      <c r="G367" s="324"/>
      <c r="H367" s="324"/>
      <c r="I367" s="324"/>
      <c r="J367" s="324"/>
      <c r="K367" s="324"/>
      <c r="L367" s="324"/>
      <c r="M367" s="324"/>
      <c r="AK367" s="324"/>
    </row>
    <row r="368" spans="1:37" ht="12.75" customHeight="1">
      <c r="A368" s="324"/>
      <c r="B368" s="324"/>
      <c r="C368" s="324"/>
      <c r="D368" s="324"/>
      <c r="E368" s="324"/>
      <c r="F368" s="324"/>
      <c r="G368" s="324"/>
      <c r="H368" s="324"/>
      <c r="I368" s="324"/>
      <c r="J368" s="324"/>
      <c r="K368" s="324"/>
      <c r="L368" s="324"/>
      <c r="M368" s="324"/>
      <c r="N368" s="343"/>
      <c r="O368" s="343"/>
      <c r="P368" s="343"/>
      <c r="Q368" s="343"/>
      <c r="R368" s="343"/>
      <c r="S368" s="343"/>
      <c r="T368" s="343"/>
      <c r="U368" s="343"/>
      <c r="V368" s="343"/>
      <c r="W368" s="343"/>
      <c r="X368" s="343"/>
      <c r="Y368" s="343"/>
      <c r="Z368" s="343"/>
      <c r="AA368" s="343"/>
      <c r="AB368" s="343"/>
      <c r="AC368" s="343"/>
      <c r="AD368" s="343"/>
      <c r="AE368" s="343"/>
      <c r="AF368" s="343"/>
      <c r="AG368" s="343"/>
      <c r="AH368" s="343"/>
      <c r="AI368" s="343"/>
      <c r="AK368" s="324"/>
    </row>
    <row r="369" spans="1:37" ht="1.5" customHeight="1">
      <c r="A369" s="324"/>
      <c r="B369" s="324"/>
      <c r="C369" s="324"/>
      <c r="D369" s="324"/>
      <c r="E369" s="324"/>
      <c r="F369" s="324"/>
      <c r="G369" s="324"/>
      <c r="H369" s="324"/>
      <c r="I369" s="324"/>
      <c r="J369" s="324"/>
      <c r="K369" s="324"/>
      <c r="L369" s="324"/>
      <c r="M369" s="324"/>
      <c r="AK369" s="324"/>
    </row>
    <row r="370" spans="1:37" ht="12.75" customHeight="1">
      <c r="A370" s="324"/>
      <c r="B370" s="324"/>
      <c r="C370" s="324"/>
      <c r="D370" s="324"/>
      <c r="E370" s="324"/>
      <c r="F370" s="324"/>
      <c r="G370" s="324"/>
      <c r="H370" s="324"/>
      <c r="I370" s="324"/>
      <c r="J370" s="324"/>
      <c r="K370" s="324"/>
      <c r="L370" s="324"/>
      <c r="M370" s="324"/>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K370" s="324"/>
    </row>
    <row r="371" spans="1:37" ht="2.25" customHeight="1">
      <c r="A371" s="324"/>
      <c r="B371" s="331"/>
      <c r="C371" s="324"/>
      <c r="D371" s="324"/>
      <c r="E371" s="324"/>
      <c r="F371" s="324"/>
      <c r="G371" s="324"/>
      <c r="H371" s="324"/>
      <c r="I371" s="324"/>
      <c r="L371" s="324"/>
      <c r="M371" s="324"/>
      <c r="AK371" s="324"/>
    </row>
    <row r="372" spans="1:37" ht="12.75" customHeight="1">
      <c r="A372" s="324"/>
      <c r="B372" s="324"/>
      <c r="C372" s="324"/>
      <c r="D372" s="324"/>
      <c r="E372" s="324"/>
      <c r="F372" s="324"/>
      <c r="G372" s="324"/>
      <c r="H372" s="324"/>
      <c r="I372" s="324"/>
      <c r="J372" s="324"/>
      <c r="K372" s="324"/>
      <c r="L372" s="324"/>
      <c r="M372" s="324"/>
      <c r="AK372" s="324"/>
    </row>
    <row r="373" spans="1:37" ht="2.25" customHeight="1">
      <c r="A373" s="324"/>
      <c r="B373" s="324"/>
      <c r="C373" s="324"/>
      <c r="D373" s="324"/>
      <c r="E373" s="324"/>
      <c r="F373" s="324"/>
      <c r="G373" s="324"/>
      <c r="H373" s="324"/>
      <c r="I373" s="324"/>
      <c r="J373" s="324"/>
      <c r="K373" s="324"/>
      <c r="L373" s="324"/>
      <c r="M373" s="324"/>
      <c r="AK373" s="324"/>
    </row>
    <row r="374" spans="1:37" ht="12.75" customHeight="1">
      <c r="A374" s="324"/>
      <c r="B374" s="324"/>
      <c r="C374" s="324"/>
      <c r="D374" s="324"/>
      <c r="E374" s="324"/>
      <c r="F374" s="324"/>
      <c r="G374" s="324"/>
      <c r="H374" s="324"/>
      <c r="I374" s="324"/>
      <c r="J374" s="324"/>
      <c r="K374" s="324"/>
      <c r="L374" s="324"/>
      <c r="M374" s="324"/>
      <c r="Y374" s="323"/>
      <c r="AK374" s="324"/>
    </row>
    <row r="375" spans="1:37" ht="2.25" customHeight="1">
      <c r="A375" s="324"/>
      <c r="B375" s="324"/>
      <c r="C375" s="324"/>
      <c r="D375" s="324"/>
      <c r="E375" s="324"/>
      <c r="F375" s="324"/>
      <c r="G375" s="324"/>
      <c r="H375" s="324"/>
      <c r="I375" s="324"/>
      <c r="J375" s="324"/>
      <c r="K375" s="324"/>
      <c r="L375" s="324"/>
      <c r="M375" s="324"/>
      <c r="AK375" s="324"/>
    </row>
    <row r="376" spans="1:37" ht="12.75" customHeight="1">
      <c r="A376" s="324"/>
      <c r="B376" s="324"/>
      <c r="C376" s="324"/>
      <c r="D376" s="324"/>
      <c r="E376" s="324"/>
      <c r="F376" s="324"/>
      <c r="G376" s="324"/>
      <c r="H376" s="324"/>
      <c r="I376" s="324"/>
      <c r="J376" s="324"/>
      <c r="K376" s="324"/>
      <c r="L376" s="324"/>
      <c r="M376" s="324"/>
      <c r="AK376" s="324"/>
    </row>
    <row r="377" spans="1:37" ht="2.25" customHeight="1">
      <c r="A377" s="324"/>
      <c r="B377" s="324"/>
      <c r="C377" s="324"/>
      <c r="D377" s="324"/>
      <c r="E377" s="324"/>
      <c r="F377" s="324"/>
      <c r="G377" s="324"/>
      <c r="H377" s="324"/>
      <c r="I377" s="324"/>
      <c r="J377" s="324"/>
      <c r="K377" s="324"/>
      <c r="L377" s="324"/>
      <c r="M377" s="324"/>
      <c r="AK377" s="324"/>
    </row>
    <row r="378" spans="1:37" ht="12.75" customHeight="1">
      <c r="A378" s="324"/>
      <c r="B378" s="324"/>
      <c r="C378" s="324"/>
      <c r="D378" s="324"/>
      <c r="E378" s="324"/>
      <c r="F378" s="324"/>
      <c r="G378" s="324"/>
      <c r="H378" s="324"/>
      <c r="I378" s="324"/>
      <c r="J378" s="324"/>
      <c r="K378" s="324"/>
      <c r="L378" s="324"/>
      <c r="M378" s="324"/>
      <c r="AA378" s="323"/>
      <c r="AB378" s="354"/>
      <c r="AC378" s="354"/>
      <c r="AD378" s="354"/>
      <c r="AE378" s="354"/>
      <c r="AF378" s="354"/>
      <c r="AG378" s="354"/>
      <c r="AH378" s="354"/>
      <c r="AI378" s="354"/>
      <c r="AJ378" s="354"/>
      <c r="AK378" s="324"/>
    </row>
    <row r="379" spans="1:37" ht="2.25" customHeight="1">
      <c r="A379" s="324"/>
      <c r="B379" s="324"/>
      <c r="C379" s="324"/>
      <c r="D379" s="324"/>
      <c r="E379" s="324"/>
      <c r="F379" s="324"/>
      <c r="G379" s="324"/>
      <c r="H379" s="324"/>
      <c r="I379" s="324"/>
      <c r="J379" s="324"/>
      <c r="K379" s="324"/>
      <c r="L379" s="324"/>
      <c r="M379" s="324"/>
      <c r="AK379" s="324"/>
    </row>
    <row r="380" spans="1:37" ht="2.25" customHeight="1">
      <c r="B380" s="322"/>
      <c r="E380" s="324"/>
      <c r="F380" s="324"/>
      <c r="G380" s="324"/>
      <c r="H380" s="324"/>
      <c r="I380" s="324"/>
      <c r="J380" s="324"/>
      <c r="K380" s="324"/>
    </row>
    <row r="381" spans="1:37" ht="12.75" customHeight="1">
      <c r="B381" s="318"/>
      <c r="E381" s="324"/>
    </row>
    <row r="382" spans="1:37" ht="2.25" customHeight="1">
      <c r="B382" s="318"/>
    </row>
    <row r="383" spans="1:37" ht="12.75" customHeight="1">
      <c r="B383" s="318"/>
      <c r="Y383" s="323"/>
    </row>
    <row r="384" spans="1:37" ht="2.25" customHeight="1">
      <c r="B384" s="318"/>
    </row>
    <row r="385" spans="1:37" ht="12.75" customHeight="1">
      <c r="B385" s="318"/>
      <c r="AA385" s="323"/>
      <c r="AB385" s="354"/>
      <c r="AC385" s="354"/>
      <c r="AD385" s="354"/>
      <c r="AE385" s="354"/>
      <c r="AF385" s="354"/>
      <c r="AG385" s="354"/>
      <c r="AH385" s="354"/>
      <c r="AI385" s="354"/>
      <c r="AJ385" s="354"/>
    </row>
    <row r="386" spans="1:37" ht="2.25" customHeight="1"/>
    <row r="387" spans="1:37" ht="12.75" customHeight="1">
      <c r="A387" s="324"/>
      <c r="B387" s="324"/>
      <c r="C387" s="324"/>
      <c r="D387" s="324"/>
      <c r="E387" s="324"/>
      <c r="F387" s="324"/>
      <c r="G387" s="324"/>
      <c r="H387" s="324"/>
      <c r="I387" s="324"/>
      <c r="J387" s="324"/>
      <c r="K387" s="324"/>
      <c r="L387" s="324"/>
      <c r="M387" s="324"/>
      <c r="O387" s="324"/>
      <c r="P387" s="325"/>
      <c r="Q387" s="325"/>
      <c r="R387" s="325"/>
      <c r="S387" s="325"/>
      <c r="T387" s="325"/>
      <c r="U387" s="325"/>
      <c r="W387" s="324"/>
      <c r="X387" s="324"/>
      <c r="Y387" s="324"/>
      <c r="Z387" s="324"/>
      <c r="AA387" s="324"/>
      <c r="AB387" s="324"/>
      <c r="AC387" s="324"/>
      <c r="AD387" s="324"/>
      <c r="AE387" s="324"/>
      <c r="AF387" s="324"/>
      <c r="AH387" s="324"/>
      <c r="AI387" s="324"/>
      <c r="AJ387" s="323"/>
      <c r="AK387" s="324"/>
    </row>
    <row r="388" spans="1:37" ht="2.25" customHeight="1">
      <c r="A388" s="324"/>
      <c r="B388" s="324"/>
      <c r="C388" s="324"/>
      <c r="D388" s="324"/>
      <c r="E388" s="324"/>
      <c r="F388" s="324"/>
      <c r="G388" s="324"/>
      <c r="H388" s="324"/>
      <c r="I388" s="324"/>
      <c r="J388" s="324"/>
      <c r="K388" s="324"/>
      <c r="L388" s="324"/>
      <c r="M388" s="324"/>
      <c r="N388" s="324"/>
      <c r="O388" s="324"/>
      <c r="P388" s="325"/>
      <c r="Q388" s="325"/>
      <c r="R388" s="325"/>
      <c r="S388" s="325"/>
      <c r="T388" s="325"/>
      <c r="U388" s="325"/>
      <c r="V388" s="324"/>
      <c r="W388" s="324"/>
      <c r="X388" s="324"/>
      <c r="Y388" s="324"/>
      <c r="Z388" s="324"/>
      <c r="AA388" s="324"/>
      <c r="AB388" s="324"/>
      <c r="AC388" s="324"/>
      <c r="AD388" s="324"/>
      <c r="AE388" s="324"/>
      <c r="AF388" s="324"/>
      <c r="AG388" s="324"/>
      <c r="AH388" s="324"/>
      <c r="AI388" s="324"/>
      <c r="AJ388" s="324"/>
      <c r="AK388" s="324"/>
    </row>
    <row r="389" spans="1:37" ht="12.75" customHeight="1">
      <c r="A389" s="324"/>
      <c r="B389" s="324"/>
      <c r="C389" s="324"/>
      <c r="D389" s="324"/>
      <c r="E389" s="324"/>
      <c r="F389" s="324"/>
      <c r="G389" s="324"/>
      <c r="H389" s="324"/>
      <c r="I389" s="324"/>
      <c r="J389" s="324"/>
      <c r="K389" s="324"/>
      <c r="L389" s="324"/>
      <c r="M389" s="324"/>
      <c r="N389" s="324"/>
      <c r="O389" s="324"/>
      <c r="P389" s="325"/>
      <c r="Q389" s="325"/>
      <c r="R389" s="325"/>
      <c r="S389" s="325"/>
      <c r="T389" s="325"/>
      <c r="U389" s="325"/>
      <c r="V389" s="324"/>
      <c r="W389" s="324"/>
      <c r="X389" s="324"/>
      <c r="Y389" s="324"/>
      <c r="Z389" s="324"/>
      <c r="AA389" s="324"/>
      <c r="AB389" s="324"/>
      <c r="AC389" s="324"/>
      <c r="AD389" s="324"/>
      <c r="AE389" s="324"/>
      <c r="AF389" s="324"/>
      <c r="AG389" s="324"/>
      <c r="AH389" s="324"/>
      <c r="AI389" s="324"/>
      <c r="AJ389" s="324"/>
      <c r="AK389" s="324"/>
    </row>
    <row r="390" spans="1:37" ht="2.25" customHeight="1"/>
    <row r="391" spans="1:37" ht="18" customHeight="1"/>
    <row r="392" spans="1:37" ht="2.25" customHeight="1"/>
    <row r="393" spans="1:37" ht="12.75" customHeight="1">
      <c r="B393" s="318"/>
    </row>
    <row r="394" spans="1:37" ht="2.25" customHeight="1">
      <c r="B394" s="318"/>
    </row>
    <row r="395" spans="1:37" ht="12.75" customHeight="1">
      <c r="B395" s="318"/>
    </row>
    <row r="396" spans="1:37" ht="2.25" customHeight="1">
      <c r="B396" s="318"/>
    </row>
    <row r="397" spans="1:37" ht="12.75" customHeight="1">
      <c r="B397" s="318"/>
      <c r="AB397" s="354"/>
      <c r="AC397" s="354"/>
      <c r="AD397" s="354"/>
      <c r="AE397" s="354"/>
      <c r="AF397" s="354"/>
      <c r="AG397" s="354"/>
      <c r="AH397" s="354"/>
      <c r="AI397" s="354"/>
      <c r="AJ397" s="354"/>
    </row>
    <row r="398" spans="1:37" ht="2.25" customHeight="1"/>
    <row r="399" spans="1:37" ht="12.75" customHeight="1">
      <c r="A399" s="332"/>
      <c r="B399" s="322"/>
      <c r="C399" s="332"/>
      <c r="D399" s="332"/>
      <c r="E399" s="332"/>
      <c r="F399" s="332"/>
      <c r="G399" s="332"/>
      <c r="H399" s="332"/>
      <c r="I399" s="332"/>
      <c r="J399" s="332"/>
      <c r="K399" s="332"/>
      <c r="L399" s="332"/>
      <c r="M399" s="332"/>
      <c r="N399" s="332"/>
      <c r="O399" s="332"/>
      <c r="P399" s="332"/>
      <c r="Q399" s="332"/>
      <c r="R399" s="332"/>
      <c r="S399" s="332"/>
      <c r="T399" s="332"/>
      <c r="U399" s="332"/>
      <c r="V399" s="332"/>
      <c r="W399" s="332"/>
      <c r="X399" s="332"/>
      <c r="Y399" s="332"/>
      <c r="Z399" s="332"/>
      <c r="AA399" s="332"/>
      <c r="AB399" s="332"/>
      <c r="AC399" s="332"/>
      <c r="AD399" s="332"/>
      <c r="AE399" s="332"/>
      <c r="AF399" s="332"/>
      <c r="AG399" s="332"/>
      <c r="AH399" s="332"/>
      <c r="AI399" s="332"/>
      <c r="AJ399" s="349"/>
      <c r="AK399" s="332"/>
    </row>
    <row r="400" spans="1:37" ht="2.25" customHeight="1"/>
    <row r="401" spans="1:37" ht="12.75" customHeight="1">
      <c r="A401" s="324"/>
      <c r="B401" s="324"/>
      <c r="C401" s="324"/>
      <c r="D401" s="324"/>
      <c r="E401" s="324"/>
      <c r="F401" s="324"/>
      <c r="G401" s="324"/>
      <c r="H401" s="324"/>
      <c r="I401" s="324"/>
      <c r="J401" s="324"/>
      <c r="K401" s="324"/>
      <c r="L401" s="324"/>
      <c r="M401" s="324"/>
      <c r="X401" s="323"/>
      <c r="Y401" s="324"/>
      <c r="Z401" s="324"/>
      <c r="AA401" s="324"/>
      <c r="AB401" s="324"/>
      <c r="AC401" s="324"/>
      <c r="AK401" s="324"/>
    </row>
    <row r="402" spans="1:37" ht="2.25" customHeight="1">
      <c r="A402" s="324"/>
      <c r="B402" s="324"/>
      <c r="C402" s="324"/>
      <c r="D402" s="324"/>
      <c r="E402" s="324"/>
      <c r="F402" s="324"/>
      <c r="G402" s="324"/>
      <c r="H402" s="324"/>
      <c r="I402" s="324"/>
      <c r="J402" s="324"/>
      <c r="K402" s="324"/>
      <c r="L402" s="324"/>
      <c r="M402" s="324"/>
      <c r="W402" s="324"/>
      <c r="X402" s="324"/>
      <c r="Y402" s="324"/>
      <c r="Z402" s="324"/>
      <c r="AA402" s="324"/>
      <c r="AB402" s="324"/>
      <c r="AC402" s="324"/>
      <c r="AK402" s="324"/>
    </row>
    <row r="403" spans="1:37" ht="12.75" customHeight="1">
      <c r="A403" s="324"/>
      <c r="B403" s="324"/>
      <c r="C403" s="324"/>
      <c r="D403" s="324"/>
      <c r="E403" s="324"/>
      <c r="F403" s="324"/>
      <c r="G403" s="324"/>
      <c r="H403" s="324"/>
      <c r="I403" s="324"/>
      <c r="J403" s="324"/>
      <c r="K403" s="324"/>
      <c r="L403" s="324"/>
      <c r="M403" s="324"/>
      <c r="W403" s="324"/>
      <c r="X403" s="323"/>
      <c r="Y403" s="324"/>
      <c r="Z403" s="324"/>
      <c r="AA403" s="324"/>
      <c r="AB403" s="324"/>
      <c r="AC403" s="324"/>
      <c r="AJ403" s="323"/>
      <c r="AK403" s="324"/>
    </row>
    <row r="404" spans="1:37" ht="2.25" customHeight="1">
      <c r="A404" s="324"/>
      <c r="B404" s="331"/>
      <c r="C404" s="324"/>
      <c r="D404" s="324"/>
      <c r="E404" s="324"/>
      <c r="F404" s="324"/>
      <c r="G404" s="324"/>
      <c r="H404" s="324"/>
      <c r="I404" s="324"/>
      <c r="J404" s="324"/>
      <c r="K404" s="324"/>
      <c r="L404" s="324"/>
      <c r="M404" s="324"/>
      <c r="AK404" s="324"/>
    </row>
    <row r="405" spans="1:37" ht="12.75" customHeight="1">
      <c r="A405" s="324"/>
      <c r="B405" s="324"/>
      <c r="C405" s="324"/>
      <c r="D405" s="324"/>
      <c r="E405" s="324"/>
      <c r="F405" s="324"/>
      <c r="G405" s="324"/>
      <c r="H405" s="324"/>
      <c r="I405" s="324"/>
      <c r="J405" s="324"/>
      <c r="K405" s="324"/>
      <c r="L405" s="324"/>
      <c r="M405" s="324"/>
      <c r="N405" s="358"/>
      <c r="O405" s="358"/>
      <c r="P405" s="358"/>
      <c r="Q405" s="358"/>
      <c r="R405" s="358"/>
      <c r="S405" s="358"/>
      <c r="T405" s="358"/>
      <c r="U405" s="358"/>
      <c r="V405" s="358"/>
      <c r="W405" s="358"/>
      <c r="X405" s="358"/>
      <c r="Y405" s="358"/>
      <c r="Z405" s="358"/>
      <c r="AA405" s="358"/>
      <c r="AB405" s="358"/>
      <c r="AC405" s="358"/>
      <c r="AD405" s="358"/>
      <c r="AE405" s="358"/>
      <c r="AF405" s="358"/>
      <c r="AG405" s="358"/>
      <c r="AH405" s="358"/>
      <c r="AI405" s="358"/>
      <c r="AJ405" s="358"/>
      <c r="AK405" s="324"/>
    </row>
    <row r="406" spans="1:37" ht="2.25" customHeight="1">
      <c r="A406" s="324"/>
      <c r="B406" s="324"/>
      <c r="C406" s="324"/>
      <c r="D406" s="324"/>
      <c r="E406" s="324"/>
      <c r="F406" s="324"/>
      <c r="G406" s="324"/>
      <c r="H406" s="324"/>
      <c r="I406" s="324"/>
      <c r="J406" s="324"/>
      <c r="K406" s="324"/>
      <c r="L406" s="324"/>
      <c r="M406" s="324"/>
      <c r="N406" s="358"/>
      <c r="O406" s="358"/>
      <c r="P406" s="358"/>
      <c r="Q406" s="358"/>
      <c r="R406" s="358"/>
      <c r="S406" s="358"/>
      <c r="T406" s="358"/>
      <c r="U406" s="358"/>
      <c r="V406" s="358"/>
      <c r="W406" s="358"/>
      <c r="X406" s="358"/>
      <c r="Y406" s="358"/>
      <c r="Z406" s="358"/>
      <c r="AA406" s="358"/>
      <c r="AB406" s="358"/>
      <c r="AC406" s="358"/>
      <c r="AD406" s="358"/>
      <c r="AE406" s="358"/>
      <c r="AF406" s="358"/>
      <c r="AG406" s="358"/>
      <c r="AH406" s="358"/>
      <c r="AI406" s="358"/>
      <c r="AJ406" s="358"/>
      <c r="AK406" s="324"/>
    </row>
    <row r="407" spans="1:37" ht="12.75" customHeight="1">
      <c r="A407" s="324"/>
      <c r="B407" s="324"/>
      <c r="C407" s="324"/>
      <c r="D407" s="324"/>
      <c r="E407" s="324"/>
      <c r="F407" s="324"/>
      <c r="G407" s="324"/>
      <c r="H407" s="324"/>
      <c r="I407" s="324"/>
      <c r="J407" s="324"/>
      <c r="K407" s="324"/>
      <c r="L407" s="324"/>
      <c r="M407" s="324"/>
      <c r="N407" s="358"/>
      <c r="O407" s="358"/>
      <c r="P407" s="358"/>
      <c r="Q407" s="358"/>
      <c r="R407" s="358"/>
      <c r="S407" s="358"/>
      <c r="T407" s="358"/>
      <c r="U407" s="358"/>
      <c r="V407" s="358"/>
      <c r="W407" s="358"/>
      <c r="X407" s="358"/>
      <c r="Y407" s="358"/>
      <c r="Z407" s="358"/>
      <c r="AA407" s="358"/>
      <c r="AB407" s="358"/>
      <c r="AC407" s="358"/>
      <c r="AD407" s="358"/>
      <c r="AE407" s="358"/>
      <c r="AF407" s="358"/>
      <c r="AG407" s="358"/>
      <c r="AH407" s="358"/>
      <c r="AI407" s="358"/>
      <c r="AJ407" s="358"/>
      <c r="AK407" s="324"/>
    </row>
    <row r="408" spans="1:37" ht="2.25" customHeight="1">
      <c r="A408" s="324"/>
      <c r="B408" s="324"/>
      <c r="C408" s="324"/>
      <c r="D408" s="324"/>
      <c r="E408" s="324"/>
      <c r="F408" s="324"/>
      <c r="G408" s="324"/>
      <c r="H408" s="324"/>
      <c r="I408" s="324"/>
      <c r="J408" s="324"/>
      <c r="K408" s="324"/>
      <c r="L408" s="324"/>
      <c r="M408" s="324"/>
      <c r="AK408" s="324"/>
    </row>
    <row r="409" spans="1:37" ht="12.75" customHeight="1">
      <c r="A409" s="324"/>
      <c r="B409" s="324"/>
      <c r="C409" s="324"/>
      <c r="D409" s="324"/>
      <c r="E409" s="324"/>
      <c r="F409" s="324"/>
      <c r="G409" s="324"/>
      <c r="H409" s="324"/>
      <c r="I409" s="324"/>
      <c r="J409" s="324"/>
      <c r="K409" s="324"/>
      <c r="L409" s="324"/>
      <c r="M409" s="324"/>
      <c r="AK409" s="324"/>
    </row>
    <row r="410" spans="1:37" ht="2.25" customHeight="1">
      <c r="B410" s="322"/>
      <c r="E410" s="324"/>
      <c r="F410" s="324"/>
      <c r="G410" s="324"/>
      <c r="H410" s="324"/>
      <c r="I410" s="324"/>
      <c r="J410" s="324"/>
      <c r="K410" s="324"/>
    </row>
    <row r="411" spans="1:37" ht="12.75" customHeight="1">
      <c r="B411" s="318"/>
      <c r="E411" s="324"/>
      <c r="F411" s="324"/>
      <c r="G411" s="324"/>
      <c r="H411" s="324"/>
      <c r="I411" s="324"/>
      <c r="J411" s="324"/>
      <c r="K411" s="324"/>
      <c r="X411" s="324"/>
      <c r="Y411" s="324"/>
      <c r="Z411" s="324"/>
      <c r="AA411" s="324"/>
      <c r="AB411" s="324"/>
      <c r="AC411" s="324"/>
    </row>
    <row r="412" spans="1:37" ht="2.25" customHeight="1">
      <c r="B412" s="318"/>
      <c r="E412" s="324"/>
      <c r="F412" s="324"/>
      <c r="G412" s="324"/>
      <c r="H412" s="324"/>
      <c r="I412" s="324"/>
      <c r="J412" s="324"/>
      <c r="K412" s="324"/>
      <c r="W412" s="324"/>
      <c r="X412" s="324"/>
      <c r="Y412" s="324"/>
      <c r="Z412" s="324"/>
      <c r="AA412" s="324"/>
      <c r="AB412" s="324"/>
      <c r="AC412" s="324"/>
    </row>
    <row r="413" spans="1:37" ht="12.75" customHeight="1">
      <c r="B413" s="318"/>
      <c r="E413" s="324"/>
      <c r="F413" s="324"/>
      <c r="G413" s="324"/>
      <c r="H413" s="324"/>
      <c r="I413" s="324"/>
      <c r="J413" s="324"/>
      <c r="K413" s="324"/>
      <c r="X413" s="324"/>
      <c r="Y413" s="324"/>
      <c r="Z413" s="324"/>
      <c r="AA413" s="324"/>
      <c r="AB413" s="324"/>
      <c r="AC413" s="324"/>
    </row>
    <row r="414" spans="1:37" ht="2.25" customHeight="1"/>
    <row r="415" spans="1:37" ht="12.75" customHeight="1">
      <c r="B415" s="318"/>
      <c r="E415" s="324"/>
    </row>
    <row r="416" spans="1:37" ht="2.25" customHeight="1">
      <c r="B416" s="318"/>
    </row>
    <row r="417" spans="1:37" ht="12.75" customHeight="1">
      <c r="A417" s="324"/>
      <c r="B417" s="318"/>
      <c r="C417" s="324"/>
      <c r="D417" s="324"/>
      <c r="L417" s="324"/>
      <c r="M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4"/>
    </row>
    <row r="418" spans="1:37" ht="2.25" customHeight="1">
      <c r="A418" s="324"/>
      <c r="B418" s="318"/>
      <c r="C418" s="324"/>
      <c r="D418" s="324"/>
      <c r="L418" s="324"/>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4"/>
    </row>
    <row r="419" spans="1:37" ht="12.75" customHeight="1">
      <c r="A419" s="324"/>
      <c r="B419" s="318"/>
      <c r="C419" s="324"/>
      <c r="D419" s="324"/>
      <c r="L419" s="324"/>
      <c r="M419" s="324"/>
      <c r="P419" s="324"/>
      <c r="Q419" s="324"/>
      <c r="R419" s="324"/>
      <c r="S419" s="324"/>
      <c r="T419" s="324"/>
      <c r="U419" s="324"/>
      <c r="V419" s="324"/>
      <c r="W419" s="324"/>
      <c r="X419" s="324"/>
      <c r="Y419" s="324"/>
      <c r="Z419" s="324"/>
      <c r="AA419" s="324"/>
      <c r="AB419" s="324"/>
      <c r="AC419" s="324"/>
      <c r="AD419" s="323"/>
      <c r="AE419" s="359"/>
      <c r="AF419" s="359"/>
      <c r="AG419" s="359"/>
      <c r="AH419" s="359"/>
      <c r="AI419" s="359"/>
      <c r="AJ419" s="359"/>
      <c r="AK419" s="324"/>
    </row>
    <row r="420" spans="1:37" ht="2.25" customHeight="1">
      <c r="E420" s="319"/>
      <c r="F420" s="319"/>
      <c r="G420" s="319"/>
      <c r="H420" s="319"/>
      <c r="I420" s="319"/>
      <c r="J420" s="319"/>
      <c r="K420" s="319"/>
    </row>
    <row r="421" spans="1:37" ht="30" customHeight="1">
      <c r="A421" s="324"/>
      <c r="B421" s="318"/>
      <c r="C421" s="324"/>
      <c r="D421" s="324"/>
      <c r="E421" s="324"/>
      <c r="F421" s="324"/>
      <c r="G421" s="324"/>
      <c r="H421" s="324"/>
      <c r="I421" s="324"/>
      <c r="J421" s="324"/>
      <c r="K421" s="324"/>
      <c r="L421" s="324"/>
      <c r="M421" s="324"/>
      <c r="O421" s="324"/>
      <c r="P421" s="324"/>
      <c r="Q421" s="324"/>
      <c r="R421" s="324"/>
      <c r="S421" s="324"/>
      <c r="T421" s="324"/>
      <c r="U421" s="324"/>
      <c r="V421" s="324"/>
      <c r="W421" s="324"/>
      <c r="X421" s="324"/>
      <c r="Y421" s="324"/>
      <c r="Z421" s="324"/>
      <c r="AA421" s="324"/>
      <c r="AB421" s="324"/>
      <c r="AC421" s="324"/>
      <c r="AD421" s="323"/>
      <c r="AE421" s="359"/>
      <c r="AF421" s="359"/>
      <c r="AG421" s="359"/>
      <c r="AH421" s="359"/>
      <c r="AI421" s="359"/>
      <c r="AJ421" s="359"/>
      <c r="AK421" s="324"/>
    </row>
    <row r="422" spans="1:37" ht="2.25" customHeight="1">
      <c r="A422" s="324"/>
      <c r="B422" s="318"/>
      <c r="C422" s="324"/>
      <c r="D422" s="324"/>
      <c r="L422" s="324"/>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4"/>
    </row>
    <row r="423" spans="1:37" ht="9" customHeight="1">
      <c r="A423" s="324"/>
      <c r="B423" s="318"/>
      <c r="C423" s="324"/>
      <c r="D423" s="324"/>
      <c r="L423" s="324"/>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4"/>
    </row>
    <row r="424" spans="1:37" s="336" customFormat="1" ht="12.75" customHeight="1">
      <c r="B424" s="342"/>
    </row>
    <row r="425" spans="1:37" s="336" customFormat="1" ht="12.75" customHeight="1">
      <c r="B425" s="342"/>
      <c r="F425" s="352"/>
      <c r="G425" s="352"/>
      <c r="H425" s="352"/>
      <c r="I425" s="352"/>
      <c r="J425" s="352"/>
      <c r="K425" s="352"/>
      <c r="L425" s="352"/>
      <c r="M425" s="352"/>
      <c r="N425" s="352"/>
      <c r="O425" s="352"/>
      <c r="P425" s="352"/>
      <c r="Q425" s="352"/>
      <c r="R425" s="352"/>
      <c r="S425" s="352"/>
      <c r="T425" s="352"/>
      <c r="U425" s="352"/>
      <c r="V425" s="352"/>
      <c r="W425" s="352"/>
      <c r="X425" s="352"/>
      <c r="Y425" s="352"/>
      <c r="Z425" s="352"/>
      <c r="AA425" s="352"/>
      <c r="AB425" s="352"/>
      <c r="AC425" s="352"/>
      <c r="AD425" s="352"/>
      <c r="AE425" s="352"/>
      <c r="AF425" s="352"/>
      <c r="AG425" s="352"/>
      <c r="AH425" s="352"/>
      <c r="AI425" s="352"/>
      <c r="AJ425" s="352"/>
    </row>
    <row r="426" spans="1:37" s="336" customFormat="1" ht="12.75" customHeight="1">
      <c r="B426" s="342"/>
      <c r="F426" s="352"/>
      <c r="G426" s="352"/>
      <c r="H426" s="352"/>
      <c r="I426" s="352"/>
      <c r="J426" s="352"/>
      <c r="K426" s="352"/>
      <c r="L426" s="352"/>
      <c r="M426" s="352"/>
      <c r="N426" s="352"/>
      <c r="O426" s="352"/>
      <c r="P426" s="352"/>
      <c r="Q426" s="352"/>
      <c r="R426" s="352"/>
      <c r="S426" s="352"/>
      <c r="T426" s="352"/>
      <c r="U426" s="352"/>
      <c r="V426" s="352"/>
      <c r="W426" s="352"/>
      <c r="X426" s="352"/>
      <c r="Y426" s="352"/>
      <c r="Z426" s="352"/>
      <c r="AA426" s="352"/>
      <c r="AB426" s="352"/>
      <c r="AC426" s="352"/>
      <c r="AD426" s="352"/>
      <c r="AE426" s="352"/>
      <c r="AF426" s="352"/>
      <c r="AG426" s="352"/>
      <c r="AH426" s="352"/>
      <c r="AI426" s="352"/>
      <c r="AJ426" s="352"/>
    </row>
    <row r="427" spans="1:37" s="336" customFormat="1" ht="12.75" customHeight="1">
      <c r="B427" s="342"/>
      <c r="F427" s="352"/>
      <c r="G427" s="352"/>
      <c r="H427" s="352"/>
      <c r="I427" s="352"/>
      <c r="J427" s="352"/>
      <c r="K427" s="352"/>
      <c r="L427" s="352"/>
      <c r="M427" s="352"/>
      <c r="N427" s="352"/>
      <c r="O427" s="352"/>
      <c r="P427" s="352"/>
      <c r="Q427" s="352"/>
      <c r="R427" s="352"/>
      <c r="S427" s="352"/>
      <c r="T427" s="352"/>
      <c r="U427" s="352"/>
      <c r="V427" s="352"/>
      <c r="W427" s="352"/>
      <c r="X427" s="352"/>
      <c r="Y427" s="352"/>
      <c r="Z427" s="352"/>
      <c r="AA427" s="352"/>
      <c r="AB427" s="352"/>
      <c r="AC427" s="352"/>
      <c r="AD427" s="352"/>
      <c r="AE427" s="352"/>
      <c r="AF427" s="352"/>
      <c r="AG427" s="352"/>
      <c r="AH427" s="352"/>
      <c r="AI427" s="352"/>
      <c r="AJ427" s="352"/>
    </row>
    <row r="428" spans="1:37" s="336" customFormat="1" ht="12.75" customHeight="1">
      <c r="B428" s="342"/>
      <c r="F428" s="352"/>
      <c r="G428" s="352"/>
      <c r="H428" s="352"/>
      <c r="I428" s="352"/>
      <c r="J428" s="352"/>
      <c r="K428" s="352"/>
      <c r="L428" s="352"/>
      <c r="M428" s="352"/>
      <c r="N428" s="352"/>
      <c r="O428" s="352"/>
      <c r="P428" s="352"/>
      <c r="Q428" s="352"/>
      <c r="R428" s="352"/>
      <c r="S428" s="352"/>
      <c r="T428" s="352"/>
      <c r="U428" s="352"/>
      <c r="V428" s="352"/>
      <c r="W428" s="352"/>
      <c r="X428" s="352"/>
      <c r="Y428" s="352"/>
      <c r="Z428" s="352"/>
      <c r="AA428" s="352"/>
      <c r="AB428" s="352"/>
      <c r="AC428" s="352"/>
      <c r="AD428" s="352"/>
      <c r="AE428" s="352"/>
      <c r="AF428" s="352"/>
      <c r="AG428" s="352"/>
      <c r="AH428" s="352"/>
      <c r="AI428" s="352"/>
      <c r="AJ428" s="352"/>
    </row>
    <row r="431" spans="1:37" ht="4.5" customHeight="1"/>
    <row r="432" spans="1:37">
      <c r="B432" s="326"/>
    </row>
    <row r="464" ht="4.5" customHeight="1"/>
    <row r="465" spans="2:2">
      <c r="B465" s="326"/>
    </row>
  </sheetData>
  <sheetProtection selectLockedCells="1"/>
  <mergeCells count="1">
    <mergeCell ref="K9:AD9"/>
  </mergeCells>
  <phoneticPr fontId="116"/>
  <dataValidations count="2">
    <dataValidation allowBlank="1" showInputMessage="1" showErrorMessage="1" sqref="AC146:AJ148 AC65682:AJ65684 AC131218:AJ131220 AC196754:AJ196756 AC262290:AJ262292 AC327826:AJ327828 AC393362:AJ393364 AC458898:AJ458900 AC524434:AJ524436 AC589970:AJ589972 AC655506:AJ655508 AC721042:AJ721044 AC786578:AJ786580 AC852114:AJ852116 AC917650:AJ917652 AC983186:AJ983188 AD2:AJ2 AD65538:AJ65538 AD131074:AJ131074 AD196610:AJ196610 AD262146:AJ262146 AD327682:AJ327682 AD393218:AJ393218 AD458754:AJ458754 AD524290:AJ524290 AD589826:AJ589826 AD655362:AJ655362 AD720898:AJ720898 AD786434:AJ786434 AD851970:AJ851970 AD917506:AJ917506 AD983042:AJ983042 JY146:KF148 JY65682:KF65684 JY131218:KF131220 JY196754:KF196756 JY262290:KF262292 JY327826:KF327828 JY393362:KF393364 JY458898:KF458900 JY524434:KF524436 JY589970:KF589972 JY655506:KF655508 JY721042:KF721044 JY786578:KF786580 JY852114:KF852116 JY917650:KF917652 JY983186:KF983188 JZ2:KF2 JZ65538:KF65538 JZ131074:KF131074 JZ196610:KF196610 JZ262146:KF262146 JZ327682:KF327682 JZ393218:KF393218 JZ458754:KF458754 JZ524290:KF524290 JZ589826:KF589826 JZ655362:KF655362 JZ720898:KF720898 JZ786434:KF786434 JZ851970:KF851970 JZ917506:KF917506 JZ983042:KF983042 TU146:UB148 TU65682:UB65684 TU131218:UB131220 TU196754:UB196756 TU262290:UB262292 TU327826:UB327828 TU393362:UB393364 TU458898:UB458900 TU524434:UB524436 TU589970:UB589972 TU655506:UB655508 TU721042:UB721044 TU786578:UB786580 TU852114:UB852116 TU917650:UB917652 TU983186:UB983188 TV2:UB2 TV65538:UB65538 TV131074:UB131074 TV196610:UB196610 TV262146:UB262146 TV327682:UB327682 TV393218:UB393218 TV458754:UB458754 TV524290:UB524290 TV589826:UB589826 TV655362:UB655362 TV720898:UB720898 TV786434:UB786434 TV851970:UB851970 TV917506:UB917506 TV983042:UB983042 ADQ146:ADX148 ADQ65682:ADX65684 ADQ131218:ADX131220 ADQ196754:ADX196756 ADQ262290:ADX262292 ADQ327826:ADX327828 ADQ393362:ADX393364 ADQ458898:ADX458900 ADQ524434:ADX524436 ADQ589970:ADX589972 ADQ655506:ADX655508 ADQ721042:ADX721044 ADQ786578:ADX786580 ADQ852114:ADX852116 ADQ917650:ADX917652 ADQ983186:ADX983188 ADR2:ADX2 ADR65538:ADX65538 ADR131074:ADX131074 ADR196610:ADX196610 ADR262146:ADX262146 ADR327682:ADX327682 ADR393218:ADX393218 ADR458754:ADX458754 ADR524290:ADX524290 ADR589826:ADX589826 ADR655362:ADX655362 ADR720898:ADX720898 ADR786434:ADX786434 ADR851970:ADX851970 ADR917506:ADX917506 ADR983042:ADX983042 ANM146:ANT148 ANM65682:ANT65684 ANM131218:ANT131220 ANM196754:ANT196756 ANM262290:ANT262292 ANM327826:ANT327828 ANM393362:ANT393364 ANM458898:ANT458900 ANM524434:ANT524436 ANM589970:ANT589972 ANM655506:ANT655508 ANM721042:ANT721044 ANM786578:ANT786580 ANM852114:ANT852116 ANM917650:ANT917652 ANM983186:ANT983188 ANN2:ANT2 ANN65538:ANT65538 ANN131074:ANT131074 ANN196610:ANT196610 ANN262146:ANT262146 ANN327682:ANT327682 ANN393218:ANT393218 ANN458754:ANT458754 ANN524290:ANT524290 ANN589826:ANT589826 ANN655362:ANT655362 ANN720898:ANT720898 ANN786434:ANT786434 ANN851970:ANT851970 ANN917506:ANT917506 ANN983042:ANT983042 AXI146:AXP148 AXI65682:AXP65684 AXI131218:AXP131220 AXI196754:AXP196756 AXI262290:AXP262292 AXI327826:AXP327828 AXI393362:AXP393364 AXI458898:AXP458900 AXI524434:AXP524436 AXI589970:AXP589972 AXI655506:AXP655508 AXI721042:AXP721044 AXI786578:AXP786580 AXI852114:AXP852116 AXI917650:AXP917652 AXI983186:AXP983188 AXJ2:AXP2 AXJ65538:AXP65538 AXJ131074:AXP131074 AXJ196610:AXP196610 AXJ262146:AXP262146 AXJ327682:AXP327682 AXJ393218:AXP393218 AXJ458754:AXP458754 AXJ524290:AXP524290 AXJ589826:AXP589826 AXJ655362:AXP655362 AXJ720898:AXP720898 AXJ786434:AXP786434 AXJ851970:AXP851970 AXJ917506:AXP917506 AXJ983042:AXP983042 BHE146:BHL148 BHE65682:BHL65684 BHE131218:BHL131220 BHE196754:BHL196756 BHE262290:BHL262292 BHE327826:BHL327828 BHE393362:BHL393364 BHE458898:BHL458900 BHE524434:BHL524436 BHE589970:BHL589972 BHE655506:BHL655508 BHE721042:BHL721044 BHE786578:BHL786580 BHE852114:BHL852116 BHE917650:BHL917652 BHE983186:BHL983188 BHF2:BHL2 BHF65538:BHL65538 BHF131074:BHL131074 BHF196610:BHL196610 BHF262146:BHL262146 BHF327682:BHL327682 BHF393218:BHL393218 BHF458754:BHL458754 BHF524290:BHL524290 BHF589826:BHL589826 BHF655362:BHL655362 BHF720898:BHL720898 BHF786434:BHL786434 BHF851970:BHL851970 BHF917506:BHL917506 BHF983042:BHL983042 BRA146:BRH148 BRA65682:BRH65684 BRA131218:BRH131220 BRA196754:BRH196756 BRA262290:BRH262292 BRA327826:BRH327828 BRA393362:BRH393364 BRA458898:BRH458900 BRA524434:BRH524436 BRA589970:BRH589972 BRA655506:BRH655508 BRA721042:BRH721044 BRA786578:BRH786580 BRA852114:BRH852116 BRA917650:BRH917652 BRA983186:BRH983188 BRB2:BRH2 BRB65538:BRH65538 BRB131074:BRH131074 BRB196610:BRH196610 BRB262146:BRH262146 BRB327682:BRH327682 BRB393218:BRH393218 BRB458754:BRH458754 BRB524290:BRH524290 BRB589826:BRH589826 BRB655362:BRH655362 BRB720898:BRH720898 BRB786434:BRH786434 BRB851970:BRH851970 BRB917506:BRH917506 BRB983042:BRH983042 CAW146:CBD148 CAW65682:CBD65684 CAW131218:CBD131220 CAW196754:CBD196756 CAW262290:CBD262292 CAW327826:CBD327828 CAW393362:CBD393364 CAW458898:CBD458900 CAW524434:CBD524436 CAW589970:CBD589972 CAW655506:CBD655508 CAW721042:CBD721044 CAW786578:CBD786580 CAW852114:CBD852116 CAW917650:CBD917652 CAW983186:CBD983188 CAX2:CBD2 CAX65538:CBD65538 CAX131074:CBD131074 CAX196610:CBD196610 CAX262146:CBD262146 CAX327682:CBD327682 CAX393218:CBD393218 CAX458754:CBD458754 CAX524290:CBD524290 CAX589826:CBD589826 CAX655362:CBD655362 CAX720898:CBD720898 CAX786434:CBD786434 CAX851970:CBD851970 CAX917506:CBD917506 CAX983042:CBD983042 CKS146:CKZ148 CKS65682:CKZ65684 CKS131218:CKZ131220 CKS196754:CKZ196756 CKS262290:CKZ262292 CKS327826:CKZ327828 CKS393362:CKZ393364 CKS458898:CKZ458900 CKS524434:CKZ524436 CKS589970:CKZ589972 CKS655506:CKZ655508 CKS721042:CKZ721044 CKS786578:CKZ786580 CKS852114:CKZ852116 CKS917650:CKZ917652 CKS983186:CKZ983188 CKT2:CKZ2 CKT65538:CKZ65538 CKT131074:CKZ131074 CKT196610:CKZ196610 CKT262146:CKZ262146 CKT327682:CKZ327682 CKT393218:CKZ393218 CKT458754:CKZ458754 CKT524290:CKZ524290 CKT589826:CKZ589826 CKT655362:CKZ655362 CKT720898:CKZ720898 CKT786434:CKZ786434 CKT851970:CKZ851970 CKT917506:CKZ917506 CKT983042:CKZ983042 CUO146:CUV148 CUO65682:CUV65684 CUO131218:CUV131220 CUO196754:CUV196756 CUO262290:CUV262292 CUO327826:CUV327828 CUO393362:CUV393364 CUO458898:CUV458900 CUO524434:CUV524436 CUO589970:CUV589972 CUO655506:CUV655508 CUO721042:CUV721044 CUO786578:CUV786580 CUO852114:CUV852116 CUO917650:CUV917652 CUO983186:CUV983188 CUP2:CUV2 CUP65538:CUV65538 CUP131074:CUV131074 CUP196610:CUV196610 CUP262146:CUV262146 CUP327682:CUV327682 CUP393218:CUV393218 CUP458754:CUV458754 CUP524290:CUV524290 CUP589826:CUV589826 CUP655362:CUV655362 CUP720898:CUV720898 CUP786434:CUV786434 CUP851970:CUV851970 CUP917506:CUV917506 CUP983042:CUV983042 DEK146:DER148 DEK65682:DER65684 DEK131218:DER131220 DEK196754:DER196756 DEK262290:DER262292 DEK327826:DER327828 DEK393362:DER393364 DEK458898:DER458900 DEK524434:DER524436 DEK589970:DER589972 DEK655506:DER655508 DEK721042:DER721044 DEK786578:DER786580 DEK852114:DER852116 DEK917650:DER917652 DEK983186:DER983188 DEL2:DER2 DEL65538:DER65538 DEL131074:DER131074 DEL196610:DER196610 DEL262146:DER262146 DEL327682:DER327682 DEL393218:DER393218 DEL458754:DER458754 DEL524290:DER524290 DEL589826:DER589826 DEL655362:DER655362 DEL720898:DER720898 DEL786434:DER786434 DEL851970:DER851970 DEL917506:DER917506 DEL983042:DER983042 DOG146:DON148 DOG65682:DON65684 DOG131218:DON131220 DOG196754:DON196756 DOG262290:DON262292 DOG327826:DON327828 DOG393362:DON393364 DOG458898:DON458900 DOG524434:DON524436 DOG589970:DON589972 DOG655506:DON655508 DOG721042:DON721044 DOG786578:DON786580 DOG852114:DON852116 DOG917650:DON917652 DOG983186:DON983188 DOH2:DON2 DOH65538:DON65538 DOH131074:DON131074 DOH196610:DON196610 DOH262146:DON262146 DOH327682:DON327682 DOH393218:DON393218 DOH458754:DON458754 DOH524290:DON524290 DOH589826:DON589826 DOH655362:DON655362 DOH720898:DON720898 DOH786434:DON786434 DOH851970:DON851970 DOH917506:DON917506 DOH983042:DON983042 DYC146:DYJ148 DYC65682:DYJ65684 DYC131218:DYJ131220 DYC196754:DYJ196756 DYC262290:DYJ262292 DYC327826:DYJ327828 DYC393362:DYJ393364 DYC458898:DYJ458900 DYC524434:DYJ524436 DYC589970:DYJ589972 DYC655506:DYJ655508 DYC721042:DYJ721044 DYC786578:DYJ786580 DYC852114:DYJ852116 DYC917650:DYJ917652 DYC983186:DYJ983188 DYD2:DYJ2 DYD65538:DYJ65538 DYD131074:DYJ131074 DYD196610:DYJ196610 DYD262146:DYJ262146 DYD327682:DYJ327682 DYD393218:DYJ393218 DYD458754:DYJ458754 DYD524290:DYJ524290 DYD589826:DYJ589826 DYD655362:DYJ655362 DYD720898:DYJ720898 DYD786434:DYJ786434 DYD851970:DYJ851970 DYD917506:DYJ917506 DYD983042:DYJ983042 EHY146:EIF148 EHY65682:EIF65684 EHY131218:EIF131220 EHY196754:EIF196756 EHY262290:EIF262292 EHY327826:EIF327828 EHY393362:EIF393364 EHY458898:EIF458900 EHY524434:EIF524436 EHY589970:EIF589972 EHY655506:EIF655508 EHY721042:EIF721044 EHY786578:EIF786580 EHY852114:EIF852116 EHY917650:EIF917652 EHY983186:EIF983188 EHZ2:EIF2 EHZ65538:EIF65538 EHZ131074:EIF131074 EHZ196610:EIF196610 EHZ262146:EIF262146 EHZ327682:EIF327682 EHZ393218:EIF393218 EHZ458754:EIF458754 EHZ524290:EIF524290 EHZ589826:EIF589826 EHZ655362:EIF655362 EHZ720898:EIF720898 EHZ786434:EIF786434 EHZ851970:EIF851970 EHZ917506:EIF917506 EHZ983042:EIF983042 ERU146:ESB148 ERU65682:ESB65684 ERU131218:ESB131220 ERU196754:ESB196756 ERU262290:ESB262292 ERU327826:ESB327828 ERU393362:ESB393364 ERU458898:ESB458900 ERU524434:ESB524436 ERU589970:ESB589972 ERU655506:ESB655508 ERU721042:ESB721044 ERU786578:ESB786580 ERU852114:ESB852116 ERU917650:ESB917652 ERU983186:ESB983188 ERV2:ESB2 ERV65538:ESB65538 ERV131074:ESB131074 ERV196610:ESB196610 ERV262146:ESB262146 ERV327682:ESB327682 ERV393218:ESB393218 ERV458754:ESB458754 ERV524290:ESB524290 ERV589826:ESB589826 ERV655362:ESB655362 ERV720898:ESB720898 ERV786434:ESB786434 ERV851970:ESB851970 ERV917506:ESB917506 ERV983042:ESB983042 FBQ146:FBX148 FBQ65682:FBX65684 FBQ131218:FBX131220 FBQ196754:FBX196756 FBQ262290:FBX262292 FBQ327826:FBX327828 FBQ393362:FBX393364 FBQ458898:FBX458900 FBQ524434:FBX524436 FBQ589970:FBX589972 FBQ655506:FBX655508 FBQ721042:FBX721044 FBQ786578:FBX786580 FBQ852114:FBX852116 FBQ917650:FBX917652 FBQ983186:FBX983188 FBR2:FBX2 FBR65538:FBX65538 FBR131074:FBX131074 FBR196610:FBX196610 FBR262146:FBX262146 FBR327682:FBX327682 FBR393218:FBX393218 FBR458754:FBX458754 FBR524290:FBX524290 FBR589826:FBX589826 FBR655362:FBX655362 FBR720898:FBX720898 FBR786434:FBX786434 FBR851970:FBX851970 FBR917506:FBX917506 FBR983042:FBX983042 FLM146:FLT148 FLM65682:FLT65684 FLM131218:FLT131220 FLM196754:FLT196756 FLM262290:FLT262292 FLM327826:FLT327828 FLM393362:FLT393364 FLM458898:FLT458900 FLM524434:FLT524436 FLM589970:FLT589972 FLM655506:FLT655508 FLM721042:FLT721044 FLM786578:FLT786580 FLM852114:FLT852116 FLM917650:FLT917652 FLM983186:FLT983188 FLN2:FLT2 FLN65538:FLT65538 FLN131074:FLT131074 FLN196610:FLT196610 FLN262146:FLT262146 FLN327682:FLT327682 FLN393218:FLT393218 FLN458754:FLT458754 FLN524290:FLT524290 FLN589826:FLT589826 FLN655362:FLT655362 FLN720898:FLT720898 FLN786434:FLT786434 FLN851970:FLT851970 FLN917506:FLT917506 FLN983042:FLT983042 FVI146:FVP148 FVI65682:FVP65684 FVI131218:FVP131220 FVI196754:FVP196756 FVI262290:FVP262292 FVI327826:FVP327828 FVI393362:FVP393364 FVI458898:FVP458900 FVI524434:FVP524436 FVI589970:FVP589972 FVI655506:FVP655508 FVI721042:FVP721044 FVI786578:FVP786580 FVI852114:FVP852116 FVI917650:FVP917652 FVI983186:FVP983188 FVJ2:FVP2 FVJ65538:FVP65538 FVJ131074:FVP131074 FVJ196610:FVP196610 FVJ262146:FVP262146 FVJ327682:FVP327682 FVJ393218:FVP393218 FVJ458754:FVP458754 FVJ524290:FVP524290 FVJ589826:FVP589826 FVJ655362:FVP655362 FVJ720898:FVP720898 FVJ786434:FVP786434 FVJ851970:FVP851970 FVJ917506:FVP917506 FVJ983042:FVP983042 GFE146:GFL148 GFE65682:GFL65684 GFE131218:GFL131220 GFE196754:GFL196756 GFE262290:GFL262292 GFE327826:GFL327828 GFE393362:GFL393364 GFE458898:GFL458900 GFE524434:GFL524436 GFE589970:GFL589972 GFE655506:GFL655508 GFE721042:GFL721044 GFE786578:GFL786580 GFE852114:GFL852116 GFE917650:GFL917652 GFE983186:GFL983188 GFF2:GFL2 GFF65538:GFL65538 GFF131074:GFL131074 GFF196610:GFL196610 GFF262146:GFL262146 GFF327682:GFL327682 GFF393218:GFL393218 GFF458754:GFL458754 GFF524290:GFL524290 GFF589826:GFL589826 GFF655362:GFL655362 GFF720898:GFL720898 GFF786434:GFL786434 GFF851970:GFL851970 GFF917506:GFL917506 GFF983042:GFL983042 GPA146:GPH148 GPA65682:GPH65684 GPA131218:GPH131220 GPA196754:GPH196756 GPA262290:GPH262292 GPA327826:GPH327828 GPA393362:GPH393364 GPA458898:GPH458900 GPA524434:GPH524436 GPA589970:GPH589972 GPA655506:GPH655508 GPA721042:GPH721044 GPA786578:GPH786580 GPA852114:GPH852116 GPA917650:GPH917652 GPA983186:GPH983188 GPB2:GPH2 GPB65538:GPH65538 GPB131074:GPH131074 GPB196610:GPH196610 GPB262146:GPH262146 GPB327682:GPH327682 GPB393218:GPH393218 GPB458754:GPH458754 GPB524290:GPH524290 GPB589826:GPH589826 GPB655362:GPH655362 GPB720898:GPH720898 GPB786434:GPH786434 GPB851970:GPH851970 GPB917506:GPH917506 GPB983042:GPH983042 GYW146:GZD148 GYW65682:GZD65684 GYW131218:GZD131220 GYW196754:GZD196756 GYW262290:GZD262292 GYW327826:GZD327828 GYW393362:GZD393364 GYW458898:GZD458900 GYW524434:GZD524436 GYW589970:GZD589972 GYW655506:GZD655508 GYW721042:GZD721044 GYW786578:GZD786580 GYW852114:GZD852116 GYW917650:GZD917652 GYW983186:GZD983188 GYX2:GZD2 GYX65538:GZD65538 GYX131074:GZD131074 GYX196610:GZD196610 GYX262146:GZD262146 GYX327682:GZD327682 GYX393218:GZD393218 GYX458754:GZD458754 GYX524290:GZD524290 GYX589826:GZD589826 GYX655362:GZD655362 GYX720898:GZD720898 GYX786434:GZD786434 GYX851970:GZD851970 GYX917506:GZD917506 GYX983042:GZD983042 HIS146:HIZ148 HIS65682:HIZ65684 HIS131218:HIZ131220 HIS196754:HIZ196756 HIS262290:HIZ262292 HIS327826:HIZ327828 HIS393362:HIZ393364 HIS458898:HIZ458900 HIS524434:HIZ524436 HIS589970:HIZ589972 HIS655506:HIZ655508 HIS721042:HIZ721044 HIS786578:HIZ786580 HIS852114:HIZ852116 HIS917650:HIZ917652 HIS983186:HIZ983188 HIT2:HIZ2 HIT65538:HIZ65538 HIT131074:HIZ131074 HIT196610:HIZ196610 HIT262146:HIZ262146 HIT327682:HIZ327682 HIT393218:HIZ393218 HIT458754:HIZ458754 HIT524290:HIZ524290 HIT589826:HIZ589826 HIT655362:HIZ655362 HIT720898:HIZ720898 HIT786434:HIZ786434 HIT851970:HIZ851970 HIT917506:HIZ917506 HIT983042:HIZ983042 HSO146:HSV148 HSO65682:HSV65684 HSO131218:HSV131220 HSO196754:HSV196756 HSO262290:HSV262292 HSO327826:HSV327828 HSO393362:HSV393364 HSO458898:HSV458900 HSO524434:HSV524436 HSO589970:HSV589972 HSO655506:HSV655508 HSO721042:HSV721044 HSO786578:HSV786580 HSO852114:HSV852116 HSO917650:HSV917652 HSO983186:HSV983188 HSP2:HSV2 HSP65538:HSV65538 HSP131074:HSV131074 HSP196610:HSV196610 HSP262146:HSV262146 HSP327682:HSV327682 HSP393218:HSV393218 HSP458754:HSV458754 HSP524290:HSV524290 HSP589826:HSV589826 HSP655362:HSV655362 HSP720898:HSV720898 HSP786434:HSV786434 HSP851970:HSV851970 HSP917506:HSV917506 HSP983042:HSV983042 ICK146:ICR148 ICK65682:ICR65684 ICK131218:ICR131220 ICK196754:ICR196756 ICK262290:ICR262292 ICK327826:ICR327828 ICK393362:ICR393364 ICK458898:ICR458900 ICK524434:ICR524436 ICK589970:ICR589972 ICK655506:ICR655508 ICK721042:ICR721044 ICK786578:ICR786580 ICK852114:ICR852116 ICK917650:ICR917652 ICK983186:ICR983188 ICL2:ICR2 ICL65538:ICR65538 ICL131074:ICR131074 ICL196610:ICR196610 ICL262146:ICR262146 ICL327682:ICR327682 ICL393218:ICR393218 ICL458754:ICR458754 ICL524290:ICR524290 ICL589826:ICR589826 ICL655362:ICR655362 ICL720898:ICR720898 ICL786434:ICR786434 ICL851970:ICR851970 ICL917506:ICR917506 ICL983042:ICR983042 IMG146:IMN148 IMG65682:IMN65684 IMG131218:IMN131220 IMG196754:IMN196756 IMG262290:IMN262292 IMG327826:IMN327828 IMG393362:IMN393364 IMG458898:IMN458900 IMG524434:IMN524436 IMG589970:IMN589972 IMG655506:IMN655508 IMG721042:IMN721044 IMG786578:IMN786580 IMG852114:IMN852116 IMG917650:IMN917652 IMG983186:IMN983188 IMH2:IMN2 IMH65538:IMN65538 IMH131074:IMN131074 IMH196610:IMN196610 IMH262146:IMN262146 IMH327682:IMN327682 IMH393218:IMN393218 IMH458754:IMN458754 IMH524290:IMN524290 IMH589826:IMN589826 IMH655362:IMN655362 IMH720898:IMN720898 IMH786434:IMN786434 IMH851970:IMN851970 IMH917506:IMN917506 IMH983042:IMN983042 IWC146:IWJ148 IWC65682:IWJ65684 IWC131218:IWJ131220 IWC196754:IWJ196756 IWC262290:IWJ262292 IWC327826:IWJ327828 IWC393362:IWJ393364 IWC458898:IWJ458900 IWC524434:IWJ524436 IWC589970:IWJ589972 IWC655506:IWJ655508 IWC721042:IWJ721044 IWC786578:IWJ786580 IWC852114:IWJ852116 IWC917650:IWJ917652 IWC983186:IWJ983188 IWD2:IWJ2 IWD65538:IWJ65538 IWD131074:IWJ131074 IWD196610:IWJ196610 IWD262146:IWJ262146 IWD327682:IWJ327682 IWD393218:IWJ393218 IWD458754:IWJ458754 IWD524290:IWJ524290 IWD589826:IWJ589826 IWD655362:IWJ655362 IWD720898:IWJ720898 IWD786434:IWJ786434 IWD851970:IWJ851970 IWD917506:IWJ917506 IWD983042:IWJ983042 JFY146:JGF148 JFY65682:JGF65684 JFY131218:JGF131220 JFY196754:JGF196756 JFY262290:JGF262292 JFY327826:JGF327828 JFY393362:JGF393364 JFY458898:JGF458900 JFY524434:JGF524436 JFY589970:JGF589972 JFY655506:JGF655508 JFY721042:JGF721044 JFY786578:JGF786580 JFY852114:JGF852116 JFY917650:JGF917652 JFY983186:JGF983188 JFZ2:JGF2 JFZ65538:JGF65538 JFZ131074:JGF131074 JFZ196610:JGF196610 JFZ262146:JGF262146 JFZ327682:JGF327682 JFZ393218:JGF393218 JFZ458754:JGF458754 JFZ524290:JGF524290 JFZ589826:JGF589826 JFZ655362:JGF655362 JFZ720898:JGF720898 JFZ786434:JGF786434 JFZ851970:JGF851970 JFZ917506:JGF917506 JFZ983042:JGF983042 JPU146:JQB148 JPU65682:JQB65684 JPU131218:JQB131220 JPU196754:JQB196756 JPU262290:JQB262292 JPU327826:JQB327828 JPU393362:JQB393364 JPU458898:JQB458900 JPU524434:JQB524436 JPU589970:JQB589972 JPU655506:JQB655508 JPU721042:JQB721044 JPU786578:JQB786580 JPU852114:JQB852116 JPU917650:JQB917652 JPU983186:JQB983188 JPV2:JQB2 JPV65538:JQB65538 JPV131074:JQB131074 JPV196610:JQB196610 JPV262146:JQB262146 JPV327682:JQB327682 JPV393218:JQB393218 JPV458754:JQB458754 JPV524290:JQB524290 JPV589826:JQB589826 JPV655362:JQB655362 JPV720898:JQB720898 JPV786434:JQB786434 JPV851970:JQB851970 JPV917506:JQB917506 JPV983042:JQB983042 JZQ146:JZX148 JZQ65682:JZX65684 JZQ131218:JZX131220 JZQ196754:JZX196756 JZQ262290:JZX262292 JZQ327826:JZX327828 JZQ393362:JZX393364 JZQ458898:JZX458900 JZQ524434:JZX524436 JZQ589970:JZX589972 JZQ655506:JZX655508 JZQ721042:JZX721044 JZQ786578:JZX786580 JZQ852114:JZX852116 JZQ917650:JZX917652 JZQ983186:JZX983188 JZR2:JZX2 JZR65538:JZX65538 JZR131074:JZX131074 JZR196610:JZX196610 JZR262146:JZX262146 JZR327682:JZX327682 JZR393218:JZX393218 JZR458754:JZX458754 JZR524290:JZX524290 JZR589826:JZX589826 JZR655362:JZX655362 JZR720898:JZX720898 JZR786434:JZX786434 JZR851970:JZX851970 JZR917506:JZX917506 JZR983042:JZX983042 KJM146:KJT148 KJM65682:KJT65684 KJM131218:KJT131220 KJM196754:KJT196756 KJM262290:KJT262292 KJM327826:KJT327828 KJM393362:KJT393364 KJM458898:KJT458900 KJM524434:KJT524436 KJM589970:KJT589972 KJM655506:KJT655508 KJM721042:KJT721044 KJM786578:KJT786580 KJM852114:KJT852116 KJM917650:KJT917652 KJM983186:KJT983188 KJN2:KJT2 KJN65538:KJT65538 KJN131074:KJT131074 KJN196610:KJT196610 KJN262146:KJT262146 KJN327682:KJT327682 KJN393218:KJT393218 KJN458754:KJT458754 KJN524290:KJT524290 KJN589826:KJT589826 KJN655362:KJT655362 KJN720898:KJT720898 KJN786434:KJT786434 KJN851970:KJT851970 KJN917506:KJT917506 KJN983042:KJT983042 KTI146:KTP148 KTI65682:KTP65684 KTI131218:KTP131220 KTI196754:KTP196756 KTI262290:KTP262292 KTI327826:KTP327828 KTI393362:KTP393364 KTI458898:KTP458900 KTI524434:KTP524436 KTI589970:KTP589972 KTI655506:KTP655508 KTI721042:KTP721044 KTI786578:KTP786580 KTI852114:KTP852116 KTI917650:KTP917652 KTI983186:KTP983188 KTJ2:KTP2 KTJ65538:KTP65538 KTJ131074:KTP131074 KTJ196610:KTP196610 KTJ262146:KTP262146 KTJ327682:KTP327682 KTJ393218:KTP393218 KTJ458754:KTP458754 KTJ524290:KTP524290 KTJ589826:KTP589826 KTJ655362:KTP655362 KTJ720898:KTP720898 KTJ786434:KTP786434 KTJ851970:KTP851970 KTJ917506:KTP917506 KTJ983042:KTP983042 LDE146:LDL148 LDE65682:LDL65684 LDE131218:LDL131220 LDE196754:LDL196756 LDE262290:LDL262292 LDE327826:LDL327828 LDE393362:LDL393364 LDE458898:LDL458900 LDE524434:LDL524436 LDE589970:LDL589972 LDE655506:LDL655508 LDE721042:LDL721044 LDE786578:LDL786580 LDE852114:LDL852116 LDE917650:LDL917652 LDE983186:LDL983188 LDF2:LDL2 LDF65538:LDL65538 LDF131074:LDL131074 LDF196610:LDL196610 LDF262146:LDL262146 LDF327682:LDL327682 LDF393218:LDL393218 LDF458754:LDL458754 LDF524290:LDL524290 LDF589826:LDL589826 LDF655362:LDL655362 LDF720898:LDL720898 LDF786434:LDL786434 LDF851970:LDL851970 LDF917506:LDL917506 LDF983042:LDL983042 LNA146:LNH148 LNA65682:LNH65684 LNA131218:LNH131220 LNA196754:LNH196756 LNA262290:LNH262292 LNA327826:LNH327828 LNA393362:LNH393364 LNA458898:LNH458900 LNA524434:LNH524436 LNA589970:LNH589972 LNA655506:LNH655508 LNA721042:LNH721044 LNA786578:LNH786580 LNA852114:LNH852116 LNA917650:LNH917652 LNA983186:LNH983188 LNB2:LNH2 LNB65538:LNH65538 LNB131074:LNH131074 LNB196610:LNH196610 LNB262146:LNH262146 LNB327682:LNH327682 LNB393218:LNH393218 LNB458754:LNH458754 LNB524290:LNH524290 LNB589826:LNH589826 LNB655362:LNH655362 LNB720898:LNH720898 LNB786434:LNH786434 LNB851970:LNH851970 LNB917506:LNH917506 LNB983042:LNH983042 LWW146:LXD148 LWW65682:LXD65684 LWW131218:LXD131220 LWW196754:LXD196756 LWW262290:LXD262292 LWW327826:LXD327828 LWW393362:LXD393364 LWW458898:LXD458900 LWW524434:LXD524436 LWW589970:LXD589972 LWW655506:LXD655508 LWW721042:LXD721044 LWW786578:LXD786580 LWW852114:LXD852116 LWW917650:LXD917652 LWW983186:LXD983188 LWX2:LXD2 LWX65538:LXD65538 LWX131074:LXD131074 LWX196610:LXD196610 LWX262146:LXD262146 LWX327682:LXD327682 LWX393218:LXD393218 LWX458754:LXD458754 LWX524290:LXD524290 LWX589826:LXD589826 LWX655362:LXD655362 LWX720898:LXD720898 LWX786434:LXD786434 LWX851970:LXD851970 LWX917506:LXD917506 LWX983042:LXD983042 MGS146:MGZ148 MGS65682:MGZ65684 MGS131218:MGZ131220 MGS196754:MGZ196756 MGS262290:MGZ262292 MGS327826:MGZ327828 MGS393362:MGZ393364 MGS458898:MGZ458900 MGS524434:MGZ524436 MGS589970:MGZ589972 MGS655506:MGZ655508 MGS721042:MGZ721044 MGS786578:MGZ786580 MGS852114:MGZ852116 MGS917650:MGZ917652 MGS983186:MGZ983188 MGT2:MGZ2 MGT65538:MGZ65538 MGT131074:MGZ131074 MGT196610:MGZ196610 MGT262146:MGZ262146 MGT327682:MGZ327682 MGT393218:MGZ393218 MGT458754:MGZ458754 MGT524290:MGZ524290 MGT589826:MGZ589826 MGT655362:MGZ655362 MGT720898:MGZ720898 MGT786434:MGZ786434 MGT851970:MGZ851970 MGT917506:MGZ917506 MGT983042:MGZ983042 MQO146:MQV148 MQO65682:MQV65684 MQO131218:MQV131220 MQO196754:MQV196756 MQO262290:MQV262292 MQO327826:MQV327828 MQO393362:MQV393364 MQO458898:MQV458900 MQO524434:MQV524436 MQO589970:MQV589972 MQO655506:MQV655508 MQO721042:MQV721044 MQO786578:MQV786580 MQO852114:MQV852116 MQO917650:MQV917652 MQO983186:MQV983188 MQP2:MQV2 MQP65538:MQV65538 MQP131074:MQV131074 MQP196610:MQV196610 MQP262146:MQV262146 MQP327682:MQV327682 MQP393218:MQV393218 MQP458754:MQV458754 MQP524290:MQV524290 MQP589826:MQV589826 MQP655362:MQV655362 MQP720898:MQV720898 MQP786434:MQV786434 MQP851970:MQV851970 MQP917506:MQV917506 MQP983042:MQV983042 NAK146:NAR148 NAK65682:NAR65684 NAK131218:NAR131220 NAK196754:NAR196756 NAK262290:NAR262292 NAK327826:NAR327828 NAK393362:NAR393364 NAK458898:NAR458900 NAK524434:NAR524436 NAK589970:NAR589972 NAK655506:NAR655508 NAK721042:NAR721044 NAK786578:NAR786580 NAK852114:NAR852116 NAK917650:NAR917652 NAK983186:NAR983188 NAL2:NAR2 NAL65538:NAR65538 NAL131074:NAR131074 NAL196610:NAR196610 NAL262146:NAR262146 NAL327682:NAR327682 NAL393218:NAR393218 NAL458754:NAR458754 NAL524290:NAR524290 NAL589826:NAR589826 NAL655362:NAR655362 NAL720898:NAR720898 NAL786434:NAR786434 NAL851970:NAR851970 NAL917506:NAR917506 NAL983042:NAR983042 NKG146:NKN148 NKG65682:NKN65684 NKG131218:NKN131220 NKG196754:NKN196756 NKG262290:NKN262292 NKG327826:NKN327828 NKG393362:NKN393364 NKG458898:NKN458900 NKG524434:NKN524436 NKG589970:NKN589972 NKG655506:NKN655508 NKG721042:NKN721044 NKG786578:NKN786580 NKG852114:NKN852116 NKG917650:NKN917652 NKG983186:NKN983188 NKH2:NKN2 NKH65538:NKN65538 NKH131074:NKN131074 NKH196610:NKN196610 NKH262146:NKN262146 NKH327682:NKN327682 NKH393218:NKN393218 NKH458754:NKN458754 NKH524290:NKN524290 NKH589826:NKN589826 NKH655362:NKN655362 NKH720898:NKN720898 NKH786434:NKN786434 NKH851970:NKN851970 NKH917506:NKN917506 NKH983042:NKN983042 NUC146:NUJ148 NUC65682:NUJ65684 NUC131218:NUJ131220 NUC196754:NUJ196756 NUC262290:NUJ262292 NUC327826:NUJ327828 NUC393362:NUJ393364 NUC458898:NUJ458900 NUC524434:NUJ524436 NUC589970:NUJ589972 NUC655506:NUJ655508 NUC721042:NUJ721044 NUC786578:NUJ786580 NUC852114:NUJ852116 NUC917650:NUJ917652 NUC983186:NUJ983188 NUD2:NUJ2 NUD65538:NUJ65538 NUD131074:NUJ131074 NUD196610:NUJ196610 NUD262146:NUJ262146 NUD327682:NUJ327682 NUD393218:NUJ393218 NUD458754:NUJ458754 NUD524290:NUJ524290 NUD589826:NUJ589826 NUD655362:NUJ655362 NUD720898:NUJ720898 NUD786434:NUJ786434 NUD851970:NUJ851970 NUD917506:NUJ917506 NUD983042:NUJ983042 ODY146:OEF148 ODY65682:OEF65684 ODY131218:OEF131220 ODY196754:OEF196756 ODY262290:OEF262292 ODY327826:OEF327828 ODY393362:OEF393364 ODY458898:OEF458900 ODY524434:OEF524436 ODY589970:OEF589972 ODY655506:OEF655508 ODY721042:OEF721044 ODY786578:OEF786580 ODY852114:OEF852116 ODY917650:OEF917652 ODY983186:OEF983188 ODZ2:OEF2 ODZ65538:OEF65538 ODZ131074:OEF131074 ODZ196610:OEF196610 ODZ262146:OEF262146 ODZ327682:OEF327682 ODZ393218:OEF393218 ODZ458754:OEF458754 ODZ524290:OEF524290 ODZ589826:OEF589826 ODZ655362:OEF655362 ODZ720898:OEF720898 ODZ786434:OEF786434 ODZ851970:OEF851970 ODZ917506:OEF917506 ODZ983042:OEF983042 ONU146:OOB148 ONU65682:OOB65684 ONU131218:OOB131220 ONU196754:OOB196756 ONU262290:OOB262292 ONU327826:OOB327828 ONU393362:OOB393364 ONU458898:OOB458900 ONU524434:OOB524436 ONU589970:OOB589972 ONU655506:OOB655508 ONU721042:OOB721044 ONU786578:OOB786580 ONU852114:OOB852116 ONU917650:OOB917652 ONU983186:OOB983188 ONV2:OOB2 ONV65538:OOB65538 ONV131074:OOB131074 ONV196610:OOB196610 ONV262146:OOB262146 ONV327682:OOB327682 ONV393218:OOB393218 ONV458754:OOB458754 ONV524290:OOB524290 ONV589826:OOB589826 ONV655362:OOB655362 ONV720898:OOB720898 ONV786434:OOB786434 ONV851970:OOB851970 ONV917506:OOB917506 ONV983042:OOB983042 OXQ146:OXX148 OXQ65682:OXX65684 OXQ131218:OXX131220 OXQ196754:OXX196756 OXQ262290:OXX262292 OXQ327826:OXX327828 OXQ393362:OXX393364 OXQ458898:OXX458900 OXQ524434:OXX524436 OXQ589970:OXX589972 OXQ655506:OXX655508 OXQ721042:OXX721044 OXQ786578:OXX786580 OXQ852114:OXX852116 OXQ917650:OXX917652 OXQ983186:OXX983188 OXR2:OXX2 OXR65538:OXX65538 OXR131074:OXX131074 OXR196610:OXX196610 OXR262146:OXX262146 OXR327682:OXX327682 OXR393218:OXX393218 OXR458754:OXX458754 OXR524290:OXX524290 OXR589826:OXX589826 OXR655362:OXX655362 OXR720898:OXX720898 OXR786434:OXX786434 OXR851970:OXX851970 OXR917506:OXX917506 OXR983042:OXX983042 PHM146:PHT148 PHM65682:PHT65684 PHM131218:PHT131220 PHM196754:PHT196756 PHM262290:PHT262292 PHM327826:PHT327828 PHM393362:PHT393364 PHM458898:PHT458900 PHM524434:PHT524436 PHM589970:PHT589972 PHM655506:PHT655508 PHM721042:PHT721044 PHM786578:PHT786580 PHM852114:PHT852116 PHM917650:PHT917652 PHM983186:PHT983188 PHN2:PHT2 PHN65538:PHT65538 PHN131074:PHT131074 PHN196610:PHT196610 PHN262146:PHT262146 PHN327682:PHT327682 PHN393218:PHT393218 PHN458754:PHT458754 PHN524290:PHT524290 PHN589826:PHT589826 PHN655362:PHT655362 PHN720898:PHT720898 PHN786434:PHT786434 PHN851970:PHT851970 PHN917506:PHT917506 PHN983042:PHT983042 PRI146:PRP148 PRI65682:PRP65684 PRI131218:PRP131220 PRI196754:PRP196756 PRI262290:PRP262292 PRI327826:PRP327828 PRI393362:PRP393364 PRI458898:PRP458900 PRI524434:PRP524436 PRI589970:PRP589972 PRI655506:PRP655508 PRI721042:PRP721044 PRI786578:PRP786580 PRI852114:PRP852116 PRI917650:PRP917652 PRI983186:PRP983188 PRJ2:PRP2 PRJ65538:PRP65538 PRJ131074:PRP131074 PRJ196610:PRP196610 PRJ262146:PRP262146 PRJ327682:PRP327682 PRJ393218:PRP393218 PRJ458754:PRP458754 PRJ524290:PRP524290 PRJ589826:PRP589826 PRJ655362:PRP655362 PRJ720898:PRP720898 PRJ786434:PRP786434 PRJ851970:PRP851970 PRJ917506:PRP917506 PRJ983042:PRP983042 QBE146:QBL148 QBE65682:QBL65684 QBE131218:QBL131220 QBE196754:QBL196756 QBE262290:QBL262292 QBE327826:QBL327828 QBE393362:QBL393364 QBE458898:QBL458900 QBE524434:QBL524436 QBE589970:QBL589972 QBE655506:QBL655508 QBE721042:QBL721044 QBE786578:QBL786580 QBE852114:QBL852116 QBE917650:QBL917652 QBE983186:QBL983188 QBF2:QBL2 QBF65538:QBL65538 QBF131074:QBL131074 QBF196610:QBL196610 QBF262146:QBL262146 QBF327682:QBL327682 QBF393218:QBL393218 QBF458754:QBL458754 QBF524290:QBL524290 QBF589826:QBL589826 QBF655362:QBL655362 QBF720898:QBL720898 QBF786434:QBL786434 QBF851970:QBL851970 QBF917506:QBL917506 QBF983042:QBL983042 QLA146:QLH148 QLA65682:QLH65684 QLA131218:QLH131220 QLA196754:QLH196756 QLA262290:QLH262292 QLA327826:QLH327828 QLA393362:QLH393364 QLA458898:QLH458900 QLA524434:QLH524436 QLA589970:QLH589972 QLA655506:QLH655508 QLA721042:QLH721044 QLA786578:QLH786580 QLA852114:QLH852116 QLA917650:QLH917652 QLA983186:QLH983188 QLB2:QLH2 QLB65538:QLH65538 QLB131074:QLH131074 QLB196610:QLH196610 QLB262146:QLH262146 QLB327682:QLH327682 QLB393218:QLH393218 QLB458754:QLH458754 QLB524290:QLH524290 QLB589826:QLH589826 QLB655362:QLH655362 QLB720898:QLH720898 QLB786434:QLH786434 QLB851970:QLH851970 QLB917506:QLH917506 QLB983042:QLH983042 QUW146:QVD148 QUW65682:QVD65684 QUW131218:QVD131220 QUW196754:QVD196756 QUW262290:QVD262292 QUW327826:QVD327828 QUW393362:QVD393364 QUW458898:QVD458900 QUW524434:QVD524436 QUW589970:QVD589972 QUW655506:QVD655508 QUW721042:QVD721044 QUW786578:QVD786580 QUW852114:QVD852116 QUW917650:QVD917652 QUW983186:QVD983188 QUX2:QVD2 QUX65538:QVD65538 QUX131074:QVD131074 QUX196610:QVD196610 QUX262146:QVD262146 QUX327682:QVD327682 QUX393218:QVD393218 QUX458754:QVD458754 QUX524290:QVD524290 QUX589826:QVD589826 QUX655362:QVD655362 QUX720898:QVD720898 QUX786434:QVD786434 QUX851970:QVD851970 QUX917506:QVD917506 QUX983042:QVD983042 RES146:REZ148 RES65682:REZ65684 RES131218:REZ131220 RES196754:REZ196756 RES262290:REZ262292 RES327826:REZ327828 RES393362:REZ393364 RES458898:REZ458900 RES524434:REZ524436 RES589970:REZ589972 RES655506:REZ655508 RES721042:REZ721044 RES786578:REZ786580 RES852114:REZ852116 RES917650:REZ917652 RES983186:REZ983188 RET2:REZ2 RET65538:REZ65538 RET131074:REZ131074 RET196610:REZ196610 RET262146:REZ262146 RET327682:REZ327682 RET393218:REZ393218 RET458754:REZ458754 RET524290:REZ524290 RET589826:REZ589826 RET655362:REZ655362 RET720898:REZ720898 RET786434:REZ786434 RET851970:REZ851970 RET917506:REZ917506 RET983042:REZ983042 ROO146:ROV148 ROO65682:ROV65684 ROO131218:ROV131220 ROO196754:ROV196756 ROO262290:ROV262292 ROO327826:ROV327828 ROO393362:ROV393364 ROO458898:ROV458900 ROO524434:ROV524436 ROO589970:ROV589972 ROO655506:ROV655508 ROO721042:ROV721044 ROO786578:ROV786580 ROO852114:ROV852116 ROO917650:ROV917652 ROO983186:ROV983188 ROP2:ROV2 ROP65538:ROV65538 ROP131074:ROV131074 ROP196610:ROV196610 ROP262146:ROV262146 ROP327682:ROV327682 ROP393218:ROV393218 ROP458754:ROV458754 ROP524290:ROV524290 ROP589826:ROV589826 ROP655362:ROV655362 ROP720898:ROV720898 ROP786434:ROV786434 ROP851970:ROV851970 ROP917506:ROV917506 ROP983042:ROV983042 RYK146:RYR148 RYK65682:RYR65684 RYK131218:RYR131220 RYK196754:RYR196756 RYK262290:RYR262292 RYK327826:RYR327828 RYK393362:RYR393364 RYK458898:RYR458900 RYK524434:RYR524436 RYK589970:RYR589972 RYK655506:RYR655508 RYK721042:RYR721044 RYK786578:RYR786580 RYK852114:RYR852116 RYK917650:RYR917652 RYK983186:RYR983188 RYL2:RYR2 RYL65538:RYR65538 RYL131074:RYR131074 RYL196610:RYR196610 RYL262146:RYR262146 RYL327682:RYR327682 RYL393218:RYR393218 RYL458754:RYR458754 RYL524290:RYR524290 RYL589826:RYR589826 RYL655362:RYR655362 RYL720898:RYR720898 RYL786434:RYR786434 RYL851970:RYR851970 RYL917506:RYR917506 RYL983042:RYR983042 SIG146:SIN148 SIG65682:SIN65684 SIG131218:SIN131220 SIG196754:SIN196756 SIG262290:SIN262292 SIG327826:SIN327828 SIG393362:SIN393364 SIG458898:SIN458900 SIG524434:SIN524436 SIG589970:SIN589972 SIG655506:SIN655508 SIG721042:SIN721044 SIG786578:SIN786580 SIG852114:SIN852116 SIG917650:SIN917652 SIG983186:SIN983188 SIH2:SIN2 SIH65538:SIN65538 SIH131074:SIN131074 SIH196610:SIN196610 SIH262146:SIN262146 SIH327682:SIN327682 SIH393218:SIN393218 SIH458754:SIN458754 SIH524290:SIN524290 SIH589826:SIN589826 SIH655362:SIN655362 SIH720898:SIN720898 SIH786434:SIN786434 SIH851970:SIN851970 SIH917506:SIN917506 SIH983042:SIN983042 SSC146:SSJ148 SSC65682:SSJ65684 SSC131218:SSJ131220 SSC196754:SSJ196756 SSC262290:SSJ262292 SSC327826:SSJ327828 SSC393362:SSJ393364 SSC458898:SSJ458900 SSC524434:SSJ524436 SSC589970:SSJ589972 SSC655506:SSJ655508 SSC721042:SSJ721044 SSC786578:SSJ786580 SSC852114:SSJ852116 SSC917650:SSJ917652 SSC983186:SSJ983188 SSD2:SSJ2 SSD65538:SSJ65538 SSD131074:SSJ131074 SSD196610:SSJ196610 SSD262146:SSJ262146 SSD327682:SSJ327682 SSD393218:SSJ393218 SSD458754:SSJ458754 SSD524290:SSJ524290 SSD589826:SSJ589826 SSD655362:SSJ655362 SSD720898:SSJ720898 SSD786434:SSJ786434 SSD851970:SSJ851970 SSD917506:SSJ917506 SSD983042:SSJ983042 TBY146:TCF148 TBY65682:TCF65684 TBY131218:TCF131220 TBY196754:TCF196756 TBY262290:TCF262292 TBY327826:TCF327828 TBY393362:TCF393364 TBY458898:TCF458900 TBY524434:TCF524436 TBY589970:TCF589972 TBY655506:TCF655508 TBY721042:TCF721044 TBY786578:TCF786580 TBY852114:TCF852116 TBY917650:TCF917652 TBY983186:TCF983188 TBZ2:TCF2 TBZ65538:TCF65538 TBZ131074:TCF131074 TBZ196610:TCF196610 TBZ262146:TCF262146 TBZ327682:TCF327682 TBZ393218:TCF393218 TBZ458754:TCF458754 TBZ524290:TCF524290 TBZ589826:TCF589826 TBZ655362:TCF655362 TBZ720898:TCF720898 TBZ786434:TCF786434 TBZ851970:TCF851970 TBZ917506:TCF917506 TBZ983042:TCF983042 TLU146:TMB148 TLU65682:TMB65684 TLU131218:TMB131220 TLU196754:TMB196756 TLU262290:TMB262292 TLU327826:TMB327828 TLU393362:TMB393364 TLU458898:TMB458900 TLU524434:TMB524436 TLU589970:TMB589972 TLU655506:TMB655508 TLU721042:TMB721044 TLU786578:TMB786580 TLU852114:TMB852116 TLU917650:TMB917652 TLU983186:TMB983188 TLV2:TMB2 TLV65538:TMB65538 TLV131074:TMB131074 TLV196610:TMB196610 TLV262146:TMB262146 TLV327682:TMB327682 TLV393218:TMB393218 TLV458754:TMB458754 TLV524290:TMB524290 TLV589826:TMB589826 TLV655362:TMB655362 TLV720898:TMB720898 TLV786434:TMB786434 TLV851970:TMB851970 TLV917506:TMB917506 TLV983042:TMB983042 TVQ146:TVX148 TVQ65682:TVX65684 TVQ131218:TVX131220 TVQ196754:TVX196756 TVQ262290:TVX262292 TVQ327826:TVX327828 TVQ393362:TVX393364 TVQ458898:TVX458900 TVQ524434:TVX524436 TVQ589970:TVX589972 TVQ655506:TVX655508 TVQ721042:TVX721044 TVQ786578:TVX786580 TVQ852114:TVX852116 TVQ917650:TVX917652 TVQ983186:TVX983188 TVR2:TVX2 TVR65538:TVX65538 TVR131074:TVX131074 TVR196610:TVX196610 TVR262146:TVX262146 TVR327682:TVX327682 TVR393218:TVX393218 TVR458754:TVX458754 TVR524290:TVX524290 TVR589826:TVX589826 TVR655362:TVX655362 TVR720898:TVX720898 TVR786434:TVX786434 TVR851970:TVX851970 TVR917506:TVX917506 TVR983042:TVX983042 UFM146:UFT148 UFM65682:UFT65684 UFM131218:UFT131220 UFM196754:UFT196756 UFM262290:UFT262292 UFM327826:UFT327828 UFM393362:UFT393364 UFM458898:UFT458900 UFM524434:UFT524436 UFM589970:UFT589972 UFM655506:UFT655508 UFM721042:UFT721044 UFM786578:UFT786580 UFM852114:UFT852116 UFM917650:UFT917652 UFM983186:UFT983188 UFN2:UFT2 UFN65538:UFT65538 UFN131074:UFT131074 UFN196610:UFT196610 UFN262146:UFT262146 UFN327682:UFT327682 UFN393218:UFT393218 UFN458754:UFT458754 UFN524290:UFT524290 UFN589826:UFT589826 UFN655362:UFT655362 UFN720898:UFT720898 UFN786434:UFT786434 UFN851970:UFT851970 UFN917506:UFT917506 UFN983042:UFT983042 UPI146:UPP148 UPI65682:UPP65684 UPI131218:UPP131220 UPI196754:UPP196756 UPI262290:UPP262292 UPI327826:UPP327828 UPI393362:UPP393364 UPI458898:UPP458900 UPI524434:UPP524436 UPI589970:UPP589972 UPI655506:UPP655508 UPI721042:UPP721044 UPI786578:UPP786580 UPI852114:UPP852116 UPI917650:UPP917652 UPI983186:UPP983188 UPJ2:UPP2 UPJ65538:UPP65538 UPJ131074:UPP131074 UPJ196610:UPP196610 UPJ262146:UPP262146 UPJ327682:UPP327682 UPJ393218:UPP393218 UPJ458754:UPP458754 UPJ524290:UPP524290 UPJ589826:UPP589826 UPJ655362:UPP655362 UPJ720898:UPP720898 UPJ786434:UPP786434 UPJ851970:UPP851970 UPJ917506:UPP917506 UPJ983042:UPP983042 UZE146:UZL148 UZE65682:UZL65684 UZE131218:UZL131220 UZE196754:UZL196756 UZE262290:UZL262292 UZE327826:UZL327828 UZE393362:UZL393364 UZE458898:UZL458900 UZE524434:UZL524436 UZE589970:UZL589972 UZE655506:UZL655508 UZE721042:UZL721044 UZE786578:UZL786580 UZE852114:UZL852116 UZE917650:UZL917652 UZE983186:UZL983188 UZF2:UZL2 UZF65538:UZL65538 UZF131074:UZL131074 UZF196610:UZL196610 UZF262146:UZL262146 UZF327682:UZL327682 UZF393218:UZL393218 UZF458754:UZL458754 UZF524290:UZL524290 UZF589826:UZL589826 UZF655362:UZL655362 UZF720898:UZL720898 UZF786434:UZL786434 UZF851970:UZL851970 UZF917506:UZL917506 UZF983042:UZL983042 VJA146:VJH148 VJA65682:VJH65684 VJA131218:VJH131220 VJA196754:VJH196756 VJA262290:VJH262292 VJA327826:VJH327828 VJA393362:VJH393364 VJA458898:VJH458900 VJA524434:VJH524436 VJA589970:VJH589972 VJA655506:VJH655508 VJA721042:VJH721044 VJA786578:VJH786580 VJA852114:VJH852116 VJA917650:VJH917652 VJA983186:VJH983188 VJB2:VJH2 VJB65538:VJH65538 VJB131074:VJH131074 VJB196610:VJH196610 VJB262146:VJH262146 VJB327682:VJH327682 VJB393218:VJH393218 VJB458754:VJH458754 VJB524290:VJH524290 VJB589826:VJH589826 VJB655362:VJH655362 VJB720898:VJH720898 VJB786434:VJH786434 VJB851970:VJH851970 VJB917506:VJH917506 VJB983042:VJH983042 VSW146:VTD148 VSW65682:VTD65684 VSW131218:VTD131220 VSW196754:VTD196756 VSW262290:VTD262292 VSW327826:VTD327828 VSW393362:VTD393364 VSW458898:VTD458900 VSW524434:VTD524436 VSW589970:VTD589972 VSW655506:VTD655508 VSW721042:VTD721044 VSW786578:VTD786580 VSW852114:VTD852116 VSW917650:VTD917652 VSW983186:VTD983188 VSX2:VTD2 VSX65538:VTD65538 VSX131074:VTD131074 VSX196610:VTD196610 VSX262146:VTD262146 VSX327682:VTD327682 VSX393218:VTD393218 VSX458754:VTD458754 VSX524290:VTD524290 VSX589826:VTD589826 VSX655362:VTD655362 VSX720898:VTD720898 VSX786434:VTD786434 VSX851970:VTD851970 VSX917506:VTD917506 VSX983042:VTD983042 WCS146:WCZ148 WCS65682:WCZ65684 WCS131218:WCZ131220 WCS196754:WCZ196756 WCS262290:WCZ262292 WCS327826:WCZ327828 WCS393362:WCZ393364 WCS458898:WCZ458900 WCS524434:WCZ524436 WCS589970:WCZ589972 WCS655506:WCZ655508 WCS721042:WCZ721044 WCS786578:WCZ786580 WCS852114:WCZ852116 WCS917650:WCZ917652 WCS983186:WCZ983188 WCT2:WCZ2 WCT65538:WCZ65538 WCT131074:WCZ131074 WCT196610:WCZ196610 WCT262146:WCZ262146 WCT327682:WCZ327682 WCT393218:WCZ393218 WCT458754:WCZ458754 WCT524290:WCZ524290 WCT589826:WCZ589826 WCT655362:WCZ655362 WCT720898:WCZ720898 WCT786434:WCZ786434 WCT851970:WCZ851970 WCT917506:WCZ917506 WCT983042:WCZ983042 WMO146:WMV148 WMO65682:WMV65684 WMO131218:WMV131220 WMO196754:WMV196756 WMO262290:WMV262292 WMO327826:WMV327828 WMO393362:WMV393364 WMO458898:WMV458900 WMO524434:WMV524436 WMO589970:WMV589972 WMO655506:WMV655508 WMO721042:WMV721044 WMO786578:WMV786580 WMO852114:WMV852116 WMO917650:WMV917652 WMO983186:WMV983188 WMP2:WMV2 WMP65538:WMV65538 WMP131074:WMV131074 WMP196610:WMV196610 WMP262146:WMV262146 WMP327682:WMV327682 WMP393218:WMV393218 WMP458754:WMV458754 WMP524290:WMV524290 WMP589826:WMV589826 WMP655362:WMV655362 WMP720898:WMV720898 WMP786434:WMV786434 WMP851970:WMV851970 WMP917506:WMV917506 WMP983042:WMV983042 WWK146:WWR148 WWK65682:WWR65684 WWK131218:WWR131220 WWK196754:WWR196756 WWK262290:WWR262292 WWK327826:WWR327828 WWK393362:WWR393364 WWK458898:WWR458900 WWK524434:WWR524436 WWK589970:WWR589972 WWK655506:WWR655508 WWK721042:WWR721044 WWK786578:WWR786580 WWK852114:WWR852116 WWK917650:WWR917652 WWK983186:WWR983188 WWL2:WWR2 WWL65538:WWR65538 WWL131074:WWR131074 WWL196610:WWR196610 WWL262146:WWR262146 WWL327682:WWR327682 WWL393218:WWR393218 WWL458754:WWR458754 WWL524290:WWR524290 WWL589826:WWR589826 WWL655362:WWR655362 WWL720898:WWR720898 WWL786434:WWR786434 WWL851970:WWR851970 WWL917506:WWR917506 WWL983042:WWR983042" xr:uid="{00000000-0002-0000-1800-000000000000}"/>
    <dataValidation allowBlank="1" showInputMessage="1" sqref="AB80:AJ80 AB92:AJ92 AB65616:AJ65616 AB65628:AJ65628 AB131152:AJ131152 AB131164:AJ131164 AB196688:AJ196688 AB196700:AJ196700 AB262224:AJ262224 AB262236:AJ262236 AB327760:AJ327760 AB327772:AJ327772 AB393296:AJ393296 AB393308:AJ393308 AB458832:AJ458832 AB458844:AJ458844 AB524368:AJ524368 AB524380:AJ524380 AB589904:AJ589904 AB589916:AJ589916 AB655440:AJ655440 AB655452:AJ655452 AB720976:AJ720976 AB720988:AJ720988 AB786512:AJ786512 AB786524:AJ786524 AB852048:AJ852048 AB852060:AJ852060 AB917584:AJ917584 AB917596:AJ917596 AB983120:AJ983120 AB983132:AJ983132 AE73:AJ73 AE114:AJ114 AE116:AJ116 AE65609:AJ65609 AE65650:AJ65650 AE65652:AJ65652 AE131145:AJ131145 AE131186:AJ131186 AE131188:AJ131188 AE196681:AJ196681 AE196722:AJ196722 AE196724:AJ196724 AE262217:AJ262217 AE262258:AJ262258 AE262260:AJ262260 AE327753:AJ327753 AE327794:AJ327794 AE327796:AJ327796 AE393289:AJ393289 AE393330:AJ393330 AE393332:AJ393332 AE458825:AJ458825 AE458866:AJ458866 AE458868:AJ458868 AE524361:AJ524361 AE524402:AJ524402 AE524404:AJ524404 AE589897:AJ589897 AE589938:AJ589938 AE589940:AJ589940 AE655433:AJ655433 AE655474:AJ655474 AE655476:AJ655476 AE720969:AJ720969 AE721010:AJ721010 AE721012:AJ721012 AE786505:AJ786505 AE786546:AJ786546 AE786548:AJ786548 AE852041:AJ852041 AE852082:AJ852082 AE852084:AJ852084 AE917577:AJ917577 AE917618:AJ917618 AE917620:AJ917620 AE983113:AJ983113 AE983154:AJ983154 AE983156:AJ983156 JX80:KF80 JX92:KF92 JX65616:KF65616 JX65628:KF65628 JX131152:KF131152 JX131164:KF131164 JX196688:KF196688 JX196700:KF196700 JX262224:KF262224 JX262236:KF262236 JX327760:KF327760 JX327772:KF327772 JX393296:KF393296 JX393308:KF393308 JX458832:KF458832 JX458844:KF458844 JX524368:KF524368 JX524380:KF524380 JX589904:KF589904 JX589916:KF589916 JX655440:KF655440 JX655452:KF655452 JX720976:KF720976 JX720988:KF720988 JX786512:KF786512 JX786524:KF786524 JX852048:KF852048 JX852060:KF852060 JX917584:KF917584 JX917596:KF917596 JX983120:KF983120 JX983132:KF983132 KA73:KF73 KA114:KF114 KA116:KF116 KA65609:KF65609 KA65650:KF65650 KA65652:KF65652 KA131145:KF131145 KA131186:KF131186 KA131188:KF131188 KA196681:KF196681 KA196722:KF196722 KA196724:KF196724 KA262217:KF262217 KA262258:KF262258 KA262260:KF262260 KA327753:KF327753 KA327794:KF327794 KA327796:KF327796 KA393289:KF393289 KA393330:KF393330 KA393332:KF393332 KA458825:KF458825 KA458866:KF458866 KA458868:KF458868 KA524361:KF524361 KA524402:KF524402 KA524404:KF524404 KA589897:KF589897 KA589938:KF589938 KA589940:KF589940 KA655433:KF655433 KA655474:KF655474 KA655476:KF655476 KA720969:KF720969 KA721010:KF721010 KA721012:KF721012 KA786505:KF786505 KA786546:KF786546 KA786548:KF786548 KA852041:KF852041 KA852082:KF852082 KA852084:KF852084 KA917577:KF917577 KA917618:KF917618 KA917620:KF917620 KA983113:KF983113 KA983154:KF983154 KA983156:KF983156 TT80:UB80 TT92:UB92 TT65616:UB65616 TT65628:UB65628 TT131152:UB131152 TT131164:UB131164 TT196688:UB196688 TT196700:UB196700 TT262224:UB262224 TT262236:UB262236 TT327760:UB327760 TT327772:UB327772 TT393296:UB393296 TT393308:UB393308 TT458832:UB458832 TT458844:UB458844 TT524368:UB524368 TT524380:UB524380 TT589904:UB589904 TT589916:UB589916 TT655440:UB655440 TT655452:UB655452 TT720976:UB720976 TT720988:UB720988 TT786512:UB786512 TT786524:UB786524 TT852048:UB852048 TT852060:UB852060 TT917584:UB917584 TT917596:UB917596 TT983120:UB983120 TT983132:UB983132 TW73:UB73 TW114:UB114 TW116:UB116 TW65609:UB65609 TW65650:UB65650 TW65652:UB65652 TW131145:UB131145 TW131186:UB131186 TW131188:UB131188 TW196681:UB196681 TW196722:UB196722 TW196724:UB196724 TW262217:UB262217 TW262258:UB262258 TW262260:UB262260 TW327753:UB327753 TW327794:UB327794 TW327796:UB327796 TW393289:UB393289 TW393330:UB393330 TW393332:UB393332 TW458825:UB458825 TW458866:UB458866 TW458868:UB458868 TW524361:UB524361 TW524402:UB524402 TW524404:UB524404 TW589897:UB589897 TW589938:UB589938 TW589940:UB589940 TW655433:UB655433 TW655474:UB655474 TW655476:UB655476 TW720969:UB720969 TW721010:UB721010 TW721012:UB721012 TW786505:UB786505 TW786546:UB786546 TW786548:UB786548 TW852041:UB852041 TW852082:UB852082 TW852084:UB852084 TW917577:UB917577 TW917618:UB917618 TW917620:UB917620 TW983113:UB983113 TW983154:UB983154 TW983156:UB983156 ADP80:ADX80 ADP92:ADX92 ADP65616:ADX65616 ADP65628:ADX65628 ADP131152:ADX131152 ADP131164:ADX131164 ADP196688:ADX196688 ADP196700:ADX196700 ADP262224:ADX262224 ADP262236:ADX262236 ADP327760:ADX327760 ADP327772:ADX327772 ADP393296:ADX393296 ADP393308:ADX393308 ADP458832:ADX458832 ADP458844:ADX458844 ADP524368:ADX524368 ADP524380:ADX524380 ADP589904:ADX589904 ADP589916:ADX589916 ADP655440:ADX655440 ADP655452:ADX655452 ADP720976:ADX720976 ADP720988:ADX720988 ADP786512:ADX786512 ADP786524:ADX786524 ADP852048:ADX852048 ADP852060:ADX852060 ADP917584:ADX917584 ADP917596:ADX917596 ADP983120:ADX983120 ADP983132:ADX983132 ADS73:ADX73 ADS114:ADX114 ADS116:ADX116 ADS65609:ADX65609 ADS65650:ADX65650 ADS65652:ADX65652 ADS131145:ADX131145 ADS131186:ADX131186 ADS131188:ADX131188 ADS196681:ADX196681 ADS196722:ADX196722 ADS196724:ADX196724 ADS262217:ADX262217 ADS262258:ADX262258 ADS262260:ADX262260 ADS327753:ADX327753 ADS327794:ADX327794 ADS327796:ADX327796 ADS393289:ADX393289 ADS393330:ADX393330 ADS393332:ADX393332 ADS458825:ADX458825 ADS458866:ADX458866 ADS458868:ADX458868 ADS524361:ADX524361 ADS524402:ADX524402 ADS524404:ADX524404 ADS589897:ADX589897 ADS589938:ADX589938 ADS589940:ADX589940 ADS655433:ADX655433 ADS655474:ADX655474 ADS655476:ADX655476 ADS720969:ADX720969 ADS721010:ADX721010 ADS721012:ADX721012 ADS786505:ADX786505 ADS786546:ADX786546 ADS786548:ADX786548 ADS852041:ADX852041 ADS852082:ADX852082 ADS852084:ADX852084 ADS917577:ADX917577 ADS917618:ADX917618 ADS917620:ADX917620 ADS983113:ADX983113 ADS983154:ADX983154 ADS983156:ADX983156 ANL80:ANT80 ANL92:ANT92 ANL65616:ANT65616 ANL65628:ANT65628 ANL131152:ANT131152 ANL131164:ANT131164 ANL196688:ANT196688 ANL196700:ANT196700 ANL262224:ANT262224 ANL262236:ANT262236 ANL327760:ANT327760 ANL327772:ANT327772 ANL393296:ANT393296 ANL393308:ANT393308 ANL458832:ANT458832 ANL458844:ANT458844 ANL524368:ANT524368 ANL524380:ANT524380 ANL589904:ANT589904 ANL589916:ANT589916 ANL655440:ANT655440 ANL655452:ANT655452 ANL720976:ANT720976 ANL720988:ANT720988 ANL786512:ANT786512 ANL786524:ANT786524 ANL852048:ANT852048 ANL852060:ANT852060 ANL917584:ANT917584 ANL917596:ANT917596 ANL983120:ANT983120 ANL983132:ANT983132 ANO73:ANT73 ANO114:ANT114 ANO116:ANT116 ANO65609:ANT65609 ANO65650:ANT65650 ANO65652:ANT65652 ANO131145:ANT131145 ANO131186:ANT131186 ANO131188:ANT131188 ANO196681:ANT196681 ANO196722:ANT196722 ANO196724:ANT196724 ANO262217:ANT262217 ANO262258:ANT262258 ANO262260:ANT262260 ANO327753:ANT327753 ANO327794:ANT327794 ANO327796:ANT327796 ANO393289:ANT393289 ANO393330:ANT393330 ANO393332:ANT393332 ANO458825:ANT458825 ANO458866:ANT458866 ANO458868:ANT458868 ANO524361:ANT524361 ANO524402:ANT524402 ANO524404:ANT524404 ANO589897:ANT589897 ANO589938:ANT589938 ANO589940:ANT589940 ANO655433:ANT655433 ANO655474:ANT655474 ANO655476:ANT655476 ANO720969:ANT720969 ANO721010:ANT721010 ANO721012:ANT721012 ANO786505:ANT786505 ANO786546:ANT786546 ANO786548:ANT786548 ANO852041:ANT852041 ANO852082:ANT852082 ANO852084:ANT852084 ANO917577:ANT917577 ANO917618:ANT917618 ANO917620:ANT917620 ANO983113:ANT983113 ANO983154:ANT983154 ANO983156:ANT983156 AXH80:AXP80 AXH92:AXP92 AXH65616:AXP65616 AXH65628:AXP65628 AXH131152:AXP131152 AXH131164:AXP131164 AXH196688:AXP196688 AXH196700:AXP196700 AXH262224:AXP262224 AXH262236:AXP262236 AXH327760:AXP327760 AXH327772:AXP327772 AXH393296:AXP393296 AXH393308:AXP393308 AXH458832:AXP458832 AXH458844:AXP458844 AXH524368:AXP524368 AXH524380:AXP524380 AXH589904:AXP589904 AXH589916:AXP589916 AXH655440:AXP655440 AXH655452:AXP655452 AXH720976:AXP720976 AXH720988:AXP720988 AXH786512:AXP786512 AXH786524:AXP786524 AXH852048:AXP852048 AXH852060:AXP852060 AXH917584:AXP917584 AXH917596:AXP917596 AXH983120:AXP983120 AXH983132:AXP983132 AXK73:AXP73 AXK114:AXP114 AXK116:AXP116 AXK65609:AXP65609 AXK65650:AXP65650 AXK65652:AXP65652 AXK131145:AXP131145 AXK131186:AXP131186 AXK131188:AXP131188 AXK196681:AXP196681 AXK196722:AXP196722 AXK196724:AXP196724 AXK262217:AXP262217 AXK262258:AXP262258 AXK262260:AXP262260 AXK327753:AXP327753 AXK327794:AXP327794 AXK327796:AXP327796 AXK393289:AXP393289 AXK393330:AXP393330 AXK393332:AXP393332 AXK458825:AXP458825 AXK458866:AXP458866 AXK458868:AXP458868 AXK524361:AXP524361 AXK524402:AXP524402 AXK524404:AXP524404 AXK589897:AXP589897 AXK589938:AXP589938 AXK589940:AXP589940 AXK655433:AXP655433 AXK655474:AXP655474 AXK655476:AXP655476 AXK720969:AXP720969 AXK721010:AXP721010 AXK721012:AXP721012 AXK786505:AXP786505 AXK786546:AXP786546 AXK786548:AXP786548 AXK852041:AXP852041 AXK852082:AXP852082 AXK852084:AXP852084 AXK917577:AXP917577 AXK917618:AXP917618 AXK917620:AXP917620 AXK983113:AXP983113 AXK983154:AXP983154 AXK983156:AXP983156 BHD80:BHL80 BHD92:BHL92 BHD65616:BHL65616 BHD65628:BHL65628 BHD131152:BHL131152 BHD131164:BHL131164 BHD196688:BHL196688 BHD196700:BHL196700 BHD262224:BHL262224 BHD262236:BHL262236 BHD327760:BHL327760 BHD327772:BHL327772 BHD393296:BHL393296 BHD393308:BHL393308 BHD458832:BHL458832 BHD458844:BHL458844 BHD524368:BHL524368 BHD524380:BHL524380 BHD589904:BHL589904 BHD589916:BHL589916 BHD655440:BHL655440 BHD655452:BHL655452 BHD720976:BHL720976 BHD720988:BHL720988 BHD786512:BHL786512 BHD786524:BHL786524 BHD852048:BHL852048 BHD852060:BHL852060 BHD917584:BHL917584 BHD917596:BHL917596 BHD983120:BHL983120 BHD983132:BHL983132 BHG73:BHL73 BHG114:BHL114 BHG116:BHL116 BHG65609:BHL65609 BHG65650:BHL65650 BHG65652:BHL65652 BHG131145:BHL131145 BHG131186:BHL131186 BHG131188:BHL131188 BHG196681:BHL196681 BHG196722:BHL196722 BHG196724:BHL196724 BHG262217:BHL262217 BHG262258:BHL262258 BHG262260:BHL262260 BHG327753:BHL327753 BHG327794:BHL327794 BHG327796:BHL327796 BHG393289:BHL393289 BHG393330:BHL393330 BHG393332:BHL393332 BHG458825:BHL458825 BHG458866:BHL458866 BHG458868:BHL458868 BHG524361:BHL524361 BHG524402:BHL524402 BHG524404:BHL524404 BHG589897:BHL589897 BHG589938:BHL589938 BHG589940:BHL589940 BHG655433:BHL655433 BHG655474:BHL655474 BHG655476:BHL655476 BHG720969:BHL720969 BHG721010:BHL721010 BHG721012:BHL721012 BHG786505:BHL786505 BHG786546:BHL786546 BHG786548:BHL786548 BHG852041:BHL852041 BHG852082:BHL852082 BHG852084:BHL852084 BHG917577:BHL917577 BHG917618:BHL917618 BHG917620:BHL917620 BHG983113:BHL983113 BHG983154:BHL983154 BHG983156:BHL983156 BQZ80:BRH80 BQZ92:BRH92 BQZ65616:BRH65616 BQZ65628:BRH65628 BQZ131152:BRH131152 BQZ131164:BRH131164 BQZ196688:BRH196688 BQZ196700:BRH196700 BQZ262224:BRH262224 BQZ262236:BRH262236 BQZ327760:BRH327760 BQZ327772:BRH327772 BQZ393296:BRH393296 BQZ393308:BRH393308 BQZ458832:BRH458832 BQZ458844:BRH458844 BQZ524368:BRH524368 BQZ524380:BRH524380 BQZ589904:BRH589904 BQZ589916:BRH589916 BQZ655440:BRH655440 BQZ655452:BRH655452 BQZ720976:BRH720976 BQZ720988:BRH720988 BQZ786512:BRH786512 BQZ786524:BRH786524 BQZ852048:BRH852048 BQZ852060:BRH852060 BQZ917584:BRH917584 BQZ917596:BRH917596 BQZ983120:BRH983120 BQZ983132:BRH983132 BRC73:BRH73 BRC114:BRH114 BRC116:BRH116 BRC65609:BRH65609 BRC65650:BRH65650 BRC65652:BRH65652 BRC131145:BRH131145 BRC131186:BRH131186 BRC131188:BRH131188 BRC196681:BRH196681 BRC196722:BRH196722 BRC196724:BRH196724 BRC262217:BRH262217 BRC262258:BRH262258 BRC262260:BRH262260 BRC327753:BRH327753 BRC327794:BRH327794 BRC327796:BRH327796 BRC393289:BRH393289 BRC393330:BRH393330 BRC393332:BRH393332 BRC458825:BRH458825 BRC458866:BRH458866 BRC458868:BRH458868 BRC524361:BRH524361 BRC524402:BRH524402 BRC524404:BRH524404 BRC589897:BRH589897 BRC589938:BRH589938 BRC589940:BRH589940 BRC655433:BRH655433 BRC655474:BRH655474 BRC655476:BRH655476 BRC720969:BRH720969 BRC721010:BRH721010 BRC721012:BRH721012 BRC786505:BRH786505 BRC786546:BRH786546 BRC786548:BRH786548 BRC852041:BRH852041 BRC852082:BRH852082 BRC852084:BRH852084 BRC917577:BRH917577 BRC917618:BRH917618 BRC917620:BRH917620 BRC983113:BRH983113 BRC983154:BRH983154 BRC983156:BRH983156 CAV80:CBD80 CAV92:CBD92 CAV65616:CBD65616 CAV65628:CBD65628 CAV131152:CBD131152 CAV131164:CBD131164 CAV196688:CBD196688 CAV196700:CBD196700 CAV262224:CBD262224 CAV262236:CBD262236 CAV327760:CBD327760 CAV327772:CBD327772 CAV393296:CBD393296 CAV393308:CBD393308 CAV458832:CBD458832 CAV458844:CBD458844 CAV524368:CBD524368 CAV524380:CBD524380 CAV589904:CBD589904 CAV589916:CBD589916 CAV655440:CBD655440 CAV655452:CBD655452 CAV720976:CBD720976 CAV720988:CBD720988 CAV786512:CBD786512 CAV786524:CBD786524 CAV852048:CBD852048 CAV852060:CBD852060 CAV917584:CBD917584 CAV917596:CBD917596 CAV983120:CBD983120 CAV983132:CBD983132 CAY73:CBD73 CAY114:CBD114 CAY116:CBD116 CAY65609:CBD65609 CAY65650:CBD65650 CAY65652:CBD65652 CAY131145:CBD131145 CAY131186:CBD131186 CAY131188:CBD131188 CAY196681:CBD196681 CAY196722:CBD196722 CAY196724:CBD196724 CAY262217:CBD262217 CAY262258:CBD262258 CAY262260:CBD262260 CAY327753:CBD327753 CAY327794:CBD327794 CAY327796:CBD327796 CAY393289:CBD393289 CAY393330:CBD393330 CAY393332:CBD393332 CAY458825:CBD458825 CAY458866:CBD458866 CAY458868:CBD458868 CAY524361:CBD524361 CAY524402:CBD524402 CAY524404:CBD524404 CAY589897:CBD589897 CAY589938:CBD589938 CAY589940:CBD589940 CAY655433:CBD655433 CAY655474:CBD655474 CAY655476:CBD655476 CAY720969:CBD720969 CAY721010:CBD721010 CAY721012:CBD721012 CAY786505:CBD786505 CAY786546:CBD786546 CAY786548:CBD786548 CAY852041:CBD852041 CAY852082:CBD852082 CAY852084:CBD852084 CAY917577:CBD917577 CAY917618:CBD917618 CAY917620:CBD917620 CAY983113:CBD983113 CAY983154:CBD983154 CAY983156:CBD983156 CKR80:CKZ80 CKR92:CKZ92 CKR65616:CKZ65616 CKR65628:CKZ65628 CKR131152:CKZ131152 CKR131164:CKZ131164 CKR196688:CKZ196688 CKR196700:CKZ196700 CKR262224:CKZ262224 CKR262236:CKZ262236 CKR327760:CKZ327760 CKR327772:CKZ327772 CKR393296:CKZ393296 CKR393308:CKZ393308 CKR458832:CKZ458832 CKR458844:CKZ458844 CKR524368:CKZ524368 CKR524380:CKZ524380 CKR589904:CKZ589904 CKR589916:CKZ589916 CKR655440:CKZ655440 CKR655452:CKZ655452 CKR720976:CKZ720976 CKR720988:CKZ720988 CKR786512:CKZ786512 CKR786524:CKZ786524 CKR852048:CKZ852048 CKR852060:CKZ852060 CKR917584:CKZ917584 CKR917596:CKZ917596 CKR983120:CKZ983120 CKR983132:CKZ983132 CKU73:CKZ73 CKU114:CKZ114 CKU116:CKZ116 CKU65609:CKZ65609 CKU65650:CKZ65650 CKU65652:CKZ65652 CKU131145:CKZ131145 CKU131186:CKZ131186 CKU131188:CKZ131188 CKU196681:CKZ196681 CKU196722:CKZ196722 CKU196724:CKZ196724 CKU262217:CKZ262217 CKU262258:CKZ262258 CKU262260:CKZ262260 CKU327753:CKZ327753 CKU327794:CKZ327794 CKU327796:CKZ327796 CKU393289:CKZ393289 CKU393330:CKZ393330 CKU393332:CKZ393332 CKU458825:CKZ458825 CKU458866:CKZ458866 CKU458868:CKZ458868 CKU524361:CKZ524361 CKU524402:CKZ524402 CKU524404:CKZ524404 CKU589897:CKZ589897 CKU589938:CKZ589938 CKU589940:CKZ589940 CKU655433:CKZ655433 CKU655474:CKZ655474 CKU655476:CKZ655476 CKU720969:CKZ720969 CKU721010:CKZ721010 CKU721012:CKZ721012 CKU786505:CKZ786505 CKU786546:CKZ786546 CKU786548:CKZ786548 CKU852041:CKZ852041 CKU852082:CKZ852082 CKU852084:CKZ852084 CKU917577:CKZ917577 CKU917618:CKZ917618 CKU917620:CKZ917620 CKU983113:CKZ983113 CKU983154:CKZ983154 CKU983156:CKZ983156 CUN80:CUV80 CUN92:CUV92 CUN65616:CUV65616 CUN65628:CUV65628 CUN131152:CUV131152 CUN131164:CUV131164 CUN196688:CUV196688 CUN196700:CUV196700 CUN262224:CUV262224 CUN262236:CUV262236 CUN327760:CUV327760 CUN327772:CUV327772 CUN393296:CUV393296 CUN393308:CUV393308 CUN458832:CUV458832 CUN458844:CUV458844 CUN524368:CUV524368 CUN524380:CUV524380 CUN589904:CUV589904 CUN589916:CUV589916 CUN655440:CUV655440 CUN655452:CUV655452 CUN720976:CUV720976 CUN720988:CUV720988 CUN786512:CUV786512 CUN786524:CUV786524 CUN852048:CUV852048 CUN852060:CUV852060 CUN917584:CUV917584 CUN917596:CUV917596 CUN983120:CUV983120 CUN983132:CUV983132 CUQ73:CUV73 CUQ114:CUV114 CUQ116:CUV116 CUQ65609:CUV65609 CUQ65650:CUV65650 CUQ65652:CUV65652 CUQ131145:CUV131145 CUQ131186:CUV131186 CUQ131188:CUV131188 CUQ196681:CUV196681 CUQ196722:CUV196722 CUQ196724:CUV196724 CUQ262217:CUV262217 CUQ262258:CUV262258 CUQ262260:CUV262260 CUQ327753:CUV327753 CUQ327794:CUV327794 CUQ327796:CUV327796 CUQ393289:CUV393289 CUQ393330:CUV393330 CUQ393332:CUV393332 CUQ458825:CUV458825 CUQ458866:CUV458866 CUQ458868:CUV458868 CUQ524361:CUV524361 CUQ524402:CUV524402 CUQ524404:CUV524404 CUQ589897:CUV589897 CUQ589938:CUV589938 CUQ589940:CUV589940 CUQ655433:CUV655433 CUQ655474:CUV655474 CUQ655476:CUV655476 CUQ720969:CUV720969 CUQ721010:CUV721010 CUQ721012:CUV721012 CUQ786505:CUV786505 CUQ786546:CUV786546 CUQ786548:CUV786548 CUQ852041:CUV852041 CUQ852082:CUV852082 CUQ852084:CUV852084 CUQ917577:CUV917577 CUQ917618:CUV917618 CUQ917620:CUV917620 CUQ983113:CUV983113 CUQ983154:CUV983154 CUQ983156:CUV983156 DEJ80:DER80 DEJ92:DER92 DEJ65616:DER65616 DEJ65628:DER65628 DEJ131152:DER131152 DEJ131164:DER131164 DEJ196688:DER196688 DEJ196700:DER196700 DEJ262224:DER262224 DEJ262236:DER262236 DEJ327760:DER327760 DEJ327772:DER327772 DEJ393296:DER393296 DEJ393308:DER393308 DEJ458832:DER458832 DEJ458844:DER458844 DEJ524368:DER524368 DEJ524380:DER524380 DEJ589904:DER589904 DEJ589916:DER589916 DEJ655440:DER655440 DEJ655452:DER655452 DEJ720976:DER720976 DEJ720988:DER720988 DEJ786512:DER786512 DEJ786524:DER786524 DEJ852048:DER852048 DEJ852060:DER852060 DEJ917584:DER917584 DEJ917596:DER917596 DEJ983120:DER983120 DEJ983132:DER983132 DEM73:DER73 DEM114:DER114 DEM116:DER116 DEM65609:DER65609 DEM65650:DER65650 DEM65652:DER65652 DEM131145:DER131145 DEM131186:DER131186 DEM131188:DER131188 DEM196681:DER196681 DEM196722:DER196722 DEM196724:DER196724 DEM262217:DER262217 DEM262258:DER262258 DEM262260:DER262260 DEM327753:DER327753 DEM327794:DER327794 DEM327796:DER327796 DEM393289:DER393289 DEM393330:DER393330 DEM393332:DER393332 DEM458825:DER458825 DEM458866:DER458866 DEM458868:DER458868 DEM524361:DER524361 DEM524402:DER524402 DEM524404:DER524404 DEM589897:DER589897 DEM589938:DER589938 DEM589940:DER589940 DEM655433:DER655433 DEM655474:DER655474 DEM655476:DER655476 DEM720969:DER720969 DEM721010:DER721010 DEM721012:DER721012 DEM786505:DER786505 DEM786546:DER786546 DEM786548:DER786548 DEM852041:DER852041 DEM852082:DER852082 DEM852084:DER852084 DEM917577:DER917577 DEM917618:DER917618 DEM917620:DER917620 DEM983113:DER983113 DEM983154:DER983154 DEM983156:DER983156 DOF80:DON80 DOF92:DON92 DOF65616:DON65616 DOF65628:DON65628 DOF131152:DON131152 DOF131164:DON131164 DOF196688:DON196688 DOF196700:DON196700 DOF262224:DON262224 DOF262236:DON262236 DOF327760:DON327760 DOF327772:DON327772 DOF393296:DON393296 DOF393308:DON393308 DOF458832:DON458832 DOF458844:DON458844 DOF524368:DON524368 DOF524380:DON524380 DOF589904:DON589904 DOF589916:DON589916 DOF655440:DON655440 DOF655452:DON655452 DOF720976:DON720976 DOF720988:DON720988 DOF786512:DON786512 DOF786524:DON786524 DOF852048:DON852048 DOF852060:DON852060 DOF917584:DON917584 DOF917596:DON917596 DOF983120:DON983120 DOF983132:DON983132 DOI73:DON73 DOI114:DON114 DOI116:DON116 DOI65609:DON65609 DOI65650:DON65650 DOI65652:DON65652 DOI131145:DON131145 DOI131186:DON131186 DOI131188:DON131188 DOI196681:DON196681 DOI196722:DON196722 DOI196724:DON196724 DOI262217:DON262217 DOI262258:DON262258 DOI262260:DON262260 DOI327753:DON327753 DOI327794:DON327794 DOI327796:DON327796 DOI393289:DON393289 DOI393330:DON393330 DOI393332:DON393332 DOI458825:DON458825 DOI458866:DON458866 DOI458868:DON458868 DOI524361:DON524361 DOI524402:DON524402 DOI524404:DON524404 DOI589897:DON589897 DOI589938:DON589938 DOI589940:DON589940 DOI655433:DON655433 DOI655474:DON655474 DOI655476:DON655476 DOI720969:DON720969 DOI721010:DON721010 DOI721012:DON721012 DOI786505:DON786505 DOI786546:DON786546 DOI786548:DON786548 DOI852041:DON852041 DOI852082:DON852082 DOI852084:DON852084 DOI917577:DON917577 DOI917618:DON917618 DOI917620:DON917620 DOI983113:DON983113 DOI983154:DON983154 DOI983156:DON983156 DYB80:DYJ80 DYB92:DYJ92 DYB65616:DYJ65616 DYB65628:DYJ65628 DYB131152:DYJ131152 DYB131164:DYJ131164 DYB196688:DYJ196688 DYB196700:DYJ196700 DYB262224:DYJ262224 DYB262236:DYJ262236 DYB327760:DYJ327760 DYB327772:DYJ327772 DYB393296:DYJ393296 DYB393308:DYJ393308 DYB458832:DYJ458832 DYB458844:DYJ458844 DYB524368:DYJ524368 DYB524380:DYJ524380 DYB589904:DYJ589904 DYB589916:DYJ589916 DYB655440:DYJ655440 DYB655452:DYJ655452 DYB720976:DYJ720976 DYB720988:DYJ720988 DYB786512:DYJ786512 DYB786524:DYJ786524 DYB852048:DYJ852048 DYB852060:DYJ852060 DYB917584:DYJ917584 DYB917596:DYJ917596 DYB983120:DYJ983120 DYB983132:DYJ983132 DYE73:DYJ73 DYE114:DYJ114 DYE116:DYJ116 DYE65609:DYJ65609 DYE65650:DYJ65650 DYE65652:DYJ65652 DYE131145:DYJ131145 DYE131186:DYJ131186 DYE131188:DYJ131188 DYE196681:DYJ196681 DYE196722:DYJ196722 DYE196724:DYJ196724 DYE262217:DYJ262217 DYE262258:DYJ262258 DYE262260:DYJ262260 DYE327753:DYJ327753 DYE327794:DYJ327794 DYE327796:DYJ327796 DYE393289:DYJ393289 DYE393330:DYJ393330 DYE393332:DYJ393332 DYE458825:DYJ458825 DYE458866:DYJ458866 DYE458868:DYJ458868 DYE524361:DYJ524361 DYE524402:DYJ524402 DYE524404:DYJ524404 DYE589897:DYJ589897 DYE589938:DYJ589938 DYE589940:DYJ589940 DYE655433:DYJ655433 DYE655474:DYJ655474 DYE655476:DYJ655476 DYE720969:DYJ720969 DYE721010:DYJ721010 DYE721012:DYJ721012 DYE786505:DYJ786505 DYE786546:DYJ786546 DYE786548:DYJ786548 DYE852041:DYJ852041 DYE852082:DYJ852082 DYE852084:DYJ852084 DYE917577:DYJ917577 DYE917618:DYJ917618 DYE917620:DYJ917620 DYE983113:DYJ983113 DYE983154:DYJ983154 DYE983156:DYJ983156 EHX80:EIF80 EHX92:EIF92 EHX65616:EIF65616 EHX65628:EIF65628 EHX131152:EIF131152 EHX131164:EIF131164 EHX196688:EIF196688 EHX196700:EIF196700 EHX262224:EIF262224 EHX262236:EIF262236 EHX327760:EIF327760 EHX327772:EIF327772 EHX393296:EIF393296 EHX393308:EIF393308 EHX458832:EIF458832 EHX458844:EIF458844 EHX524368:EIF524368 EHX524380:EIF524380 EHX589904:EIF589904 EHX589916:EIF589916 EHX655440:EIF655440 EHX655452:EIF655452 EHX720976:EIF720976 EHX720988:EIF720988 EHX786512:EIF786512 EHX786524:EIF786524 EHX852048:EIF852048 EHX852060:EIF852060 EHX917584:EIF917584 EHX917596:EIF917596 EHX983120:EIF983120 EHX983132:EIF983132 EIA73:EIF73 EIA114:EIF114 EIA116:EIF116 EIA65609:EIF65609 EIA65650:EIF65650 EIA65652:EIF65652 EIA131145:EIF131145 EIA131186:EIF131186 EIA131188:EIF131188 EIA196681:EIF196681 EIA196722:EIF196722 EIA196724:EIF196724 EIA262217:EIF262217 EIA262258:EIF262258 EIA262260:EIF262260 EIA327753:EIF327753 EIA327794:EIF327794 EIA327796:EIF327796 EIA393289:EIF393289 EIA393330:EIF393330 EIA393332:EIF393332 EIA458825:EIF458825 EIA458866:EIF458866 EIA458868:EIF458868 EIA524361:EIF524361 EIA524402:EIF524402 EIA524404:EIF524404 EIA589897:EIF589897 EIA589938:EIF589938 EIA589940:EIF589940 EIA655433:EIF655433 EIA655474:EIF655474 EIA655476:EIF655476 EIA720969:EIF720969 EIA721010:EIF721010 EIA721012:EIF721012 EIA786505:EIF786505 EIA786546:EIF786546 EIA786548:EIF786548 EIA852041:EIF852041 EIA852082:EIF852082 EIA852084:EIF852084 EIA917577:EIF917577 EIA917618:EIF917618 EIA917620:EIF917620 EIA983113:EIF983113 EIA983154:EIF983154 EIA983156:EIF983156 ERT80:ESB80 ERT92:ESB92 ERT65616:ESB65616 ERT65628:ESB65628 ERT131152:ESB131152 ERT131164:ESB131164 ERT196688:ESB196688 ERT196700:ESB196700 ERT262224:ESB262224 ERT262236:ESB262236 ERT327760:ESB327760 ERT327772:ESB327772 ERT393296:ESB393296 ERT393308:ESB393308 ERT458832:ESB458832 ERT458844:ESB458844 ERT524368:ESB524368 ERT524380:ESB524380 ERT589904:ESB589904 ERT589916:ESB589916 ERT655440:ESB655440 ERT655452:ESB655452 ERT720976:ESB720976 ERT720988:ESB720988 ERT786512:ESB786512 ERT786524:ESB786524 ERT852048:ESB852048 ERT852060:ESB852060 ERT917584:ESB917584 ERT917596:ESB917596 ERT983120:ESB983120 ERT983132:ESB983132 ERW73:ESB73 ERW114:ESB114 ERW116:ESB116 ERW65609:ESB65609 ERW65650:ESB65650 ERW65652:ESB65652 ERW131145:ESB131145 ERW131186:ESB131186 ERW131188:ESB131188 ERW196681:ESB196681 ERW196722:ESB196722 ERW196724:ESB196724 ERW262217:ESB262217 ERW262258:ESB262258 ERW262260:ESB262260 ERW327753:ESB327753 ERW327794:ESB327794 ERW327796:ESB327796 ERW393289:ESB393289 ERW393330:ESB393330 ERW393332:ESB393332 ERW458825:ESB458825 ERW458866:ESB458866 ERW458868:ESB458868 ERW524361:ESB524361 ERW524402:ESB524402 ERW524404:ESB524404 ERW589897:ESB589897 ERW589938:ESB589938 ERW589940:ESB589940 ERW655433:ESB655433 ERW655474:ESB655474 ERW655476:ESB655476 ERW720969:ESB720969 ERW721010:ESB721010 ERW721012:ESB721012 ERW786505:ESB786505 ERW786546:ESB786546 ERW786548:ESB786548 ERW852041:ESB852041 ERW852082:ESB852082 ERW852084:ESB852084 ERW917577:ESB917577 ERW917618:ESB917618 ERW917620:ESB917620 ERW983113:ESB983113 ERW983154:ESB983154 ERW983156:ESB983156 FBP80:FBX80 FBP92:FBX92 FBP65616:FBX65616 FBP65628:FBX65628 FBP131152:FBX131152 FBP131164:FBX131164 FBP196688:FBX196688 FBP196700:FBX196700 FBP262224:FBX262224 FBP262236:FBX262236 FBP327760:FBX327760 FBP327772:FBX327772 FBP393296:FBX393296 FBP393308:FBX393308 FBP458832:FBX458832 FBP458844:FBX458844 FBP524368:FBX524368 FBP524380:FBX524380 FBP589904:FBX589904 FBP589916:FBX589916 FBP655440:FBX655440 FBP655452:FBX655452 FBP720976:FBX720976 FBP720988:FBX720988 FBP786512:FBX786512 FBP786524:FBX786524 FBP852048:FBX852048 FBP852060:FBX852060 FBP917584:FBX917584 FBP917596:FBX917596 FBP983120:FBX983120 FBP983132:FBX983132 FBS73:FBX73 FBS114:FBX114 FBS116:FBX116 FBS65609:FBX65609 FBS65650:FBX65650 FBS65652:FBX65652 FBS131145:FBX131145 FBS131186:FBX131186 FBS131188:FBX131188 FBS196681:FBX196681 FBS196722:FBX196722 FBS196724:FBX196724 FBS262217:FBX262217 FBS262258:FBX262258 FBS262260:FBX262260 FBS327753:FBX327753 FBS327794:FBX327794 FBS327796:FBX327796 FBS393289:FBX393289 FBS393330:FBX393330 FBS393332:FBX393332 FBS458825:FBX458825 FBS458866:FBX458866 FBS458868:FBX458868 FBS524361:FBX524361 FBS524402:FBX524402 FBS524404:FBX524404 FBS589897:FBX589897 FBS589938:FBX589938 FBS589940:FBX589940 FBS655433:FBX655433 FBS655474:FBX655474 FBS655476:FBX655476 FBS720969:FBX720969 FBS721010:FBX721010 FBS721012:FBX721012 FBS786505:FBX786505 FBS786546:FBX786546 FBS786548:FBX786548 FBS852041:FBX852041 FBS852082:FBX852082 FBS852084:FBX852084 FBS917577:FBX917577 FBS917618:FBX917618 FBS917620:FBX917620 FBS983113:FBX983113 FBS983154:FBX983154 FBS983156:FBX983156 FLL80:FLT80 FLL92:FLT92 FLL65616:FLT65616 FLL65628:FLT65628 FLL131152:FLT131152 FLL131164:FLT131164 FLL196688:FLT196688 FLL196700:FLT196700 FLL262224:FLT262224 FLL262236:FLT262236 FLL327760:FLT327760 FLL327772:FLT327772 FLL393296:FLT393296 FLL393308:FLT393308 FLL458832:FLT458832 FLL458844:FLT458844 FLL524368:FLT524368 FLL524380:FLT524380 FLL589904:FLT589904 FLL589916:FLT589916 FLL655440:FLT655440 FLL655452:FLT655452 FLL720976:FLT720976 FLL720988:FLT720988 FLL786512:FLT786512 FLL786524:FLT786524 FLL852048:FLT852048 FLL852060:FLT852060 FLL917584:FLT917584 FLL917596:FLT917596 FLL983120:FLT983120 FLL983132:FLT983132 FLO73:FLT73 FLO114:FLT114 FLO116:FLT116 FLO65609:FLT65609 FLO65650:FLT65650 FLO65652:FLT65652 FLO131145:FLT131145 FLO131186:FLT131186 FLO131188:FLT131188 FLO196681:FLT196681 FLO196722:FLT196722 FLO196724:FLT196724 FLO262217:FLT262217 FLO262258:FLT262258 FLO262260:FLT262260 FLO327753:FLT327753 FLO327794:FLT327794 FLO327796:FLT327796 FLO393289:FLT393289 FLO393330:FLT393330 FLO393332:FLT393332 FLO458825:FLT458825 FLO458866:FLT458866 FLO458868:FLT458868 FLO524361:FLT524361 FLO524402:FLT524402 FLO524404:FLT524404 FLO589897:FLT589897 FLO589938:FLT589938 FLO589940:FLT589940 FLO655433:FLT655433 FLO655474:FLT655474 FLO655476:FLT655476 FLO720969:FLT720969 FLO721010:FLT721010 FLO721012:FLT721012 FLO786505:FLT786505 FLO786546:FLT786546 FLO786548:FLT786548 FLO852041:FLT852041 FLO852082:FLT852082 FLO852084:FLT852084 FLO917577:FLT917577 FLO917618:FLT917618 FLO917620:FLT917620 FLO983113:FLT983113 FLO983154:FLT983154 FLO983156:FLT983156 FVH80:FVP80 FVH92:FVP92 FVH65616:FVP65616 FVH65628:FVP65628 FVH131152:FVP131152 FVH131164:FVP131164 FVH196688:FVP196688 FVH196700:FVP196700 FVH262224:FVP262224 FVH262236:FVP262236 FVH327760:FVP327760 FVH327772:FVP327772 FVH393296:FVP393296 FVH393308:FVP393308 FVH458832:FVP458832 FVH458844:FVP458844 FVH524368:FVP524368 FVH524380:FVP524380 FVH589904:FVP589904 FVH589916:FVP589916 FVH655440:FVP655440 FVH655452:FVP655452 FVH720976:FVP720976 FVH720988:FVP720988 FVH786512:FVP786512 FVH786524:FVP786524 FVH852048:FVP852048 FVH852060:FVP852060 FVH917584:FVP917584 FVH917596:FVP917596 FVH983120:FVP983120 FVH983132:FVP983132 FVK73:FVP73 FVK114:FVP114 FVK116:FVP116 FVK65609:FVP65609 FVK65650:FVP65650 FVK65652:FVP65652 FVK131145:FVP131145 FVK131186:FVP131186 FVK131188:FVP131188 FVK196681:FVP196681 FVK196722:FVP196722 FVK196724:FVP196724 FVK262217:FVP262217 FVK262258:FVP262258 FVK262260:FVP262260 FVK327753:FVP327753 FVK327794:FVP327794 FVK327796:FVP327796 FVK393289:FVP393289 FVK393330:FVP393330 FVK393332:FVP393332 FVK458825:FVP458825 FVK458866:FVP458866 FVK458868:FVP458868 FVK524361:FVP524361 FVK524402:FVP524402 FVK524404:FVP524404 FVK589897:FVP589897 FVK589938:FVP589938 FVK589940:FVP589940 FVK655433:FVP655433 FVK655474:FVP655474 FVK655476:FVP655476 FVK720969:FVP720969 FVK721010:FVP721010 FVK721012:FVP721012 FVK786505:FVP786505 FVK786546:FVP786546 FVK786548:FVP786548 FVK852041:FVP852041 FVK852082:FVP852082 FVK852084:FVP852084 FVK917577:FVP917577 FVK917618:FVP917618 FVK917620:FVP917620 FVK983113:FVP983113 FVK983154:FVP983154 FVK983156:FVP983156 GFD80:GFL80 GFD92:GFL92 GFD65616:GFL65616 GFD65628:GFL65628 GFD131152:GFL131152 GFD131164:GFL131164 GFD196688:GFL196688 GFD196700:GFL196700 GFD262224:GFL262224 GFD262236:GFL262236 GFD327760:GFL327760 GFD327772:GFL327772 GFD393296:GFL393296 GFD393308:GFL393308 GFD458832:GFL458832 GFD458844:GFL458844 GFD524368:GFL524368 GFD524380:GFL524380 GFD589904:GFL589904 GFD589916:GFL589916 GFD655440:GFL655440 GFD655452:GFL655452 GFD720976:GFL720976 GFD720988:GFL720988 GFD786512:GFL786512 GFD786524:GFL786524 GFD852048:GFL852048 GFD852060:GFL852060 GFD917584:GFL917584 GFD917596:GFL917596 GFD983120:GFL983120 GFD983132:GFL983132 GFG73:GFL73 GFG114:GFL114 GFG116:GFL116 GFG65609:GFL65609 GFG65650:GFL65650 GFG65652:GFL65652 GFG131145:GFL131145 GFG131186:GFL131186 GFG131188:GFL131188 GFG196681:GFL196681 GFG196722:GFL196722 GFG196724:GFL196724 GFG262217:GFL262217 GFG262258:GFL262258 GFG262260:GFL262260 GFG327753:GFL327753 GFG327794:GFL327794 GFG327796:GFL327796 GFG393289:GFL393289 GFG393330:GFL393330 GFG393332:GFL393332 GFG458825:GFL458825 GFG458866:GFL458866 GFG458868:GFL458868 GFG524361:GFL524361 GFG524402:GFL524402 GFG524404:GFL524404 GFG589897:GFL589897 GFG589938:GFL589938 GFG589940:GFL589940 GFG655433:GFL655433 GFG655474:GFL655474 GFG655476:GFL655476 GFG720969:GFL720969 GFG721010:GFL721010 GFG721012:GFL721012 GFG786505:GFL786505 GFG786546:GFL786546 GFG786548:GFL786548 GFG852041:GFL852041 GFG852082:GFL852082 GFG852084:GFL852084 GFG917577:GFL917577 GFG917618:GFL917618 GFG917620:GFL917620 GFG983113:GFL983113 GFG983154:GFL983154 GFG983156:GFL983156 GOZ80:GPH80 GOZ92:GPH92 GOZ65616:GPH65616 GOZ65628:GPH65628 GOZ131152:GPH131152 GOZ131164:GPH131164 GOZ196688:GPH196688 GOZ196700:GPH196700 GOZ262224:GPH262224 GOZ262236:GPH262236 GOZ327760:GPH327760 GOZ327772:GPH327772 GOZ393296:GPH393296 GOZ393308:GPH393308 GOZ458832:GPH458832 GOZ458844:GPH458844 GOZ524368:GPH524368 GOZ524380:GPH524380 GOZ589904:GPH589904 GOZ589916:GPH589916 GOZ655440:GPH655440 GOZ655452:GPH655452 GOZ720976:GPH720976 GOZ720988:GPH720988 GOZ786512:GPH786512 GOZ786524:GPH786524 GOZ852048:GPH852048 GOZ852060:GPH852060 GOZ917584:GPH917584 GOZ917596:GPH917596 GOZ983120:GPH983120 GOZ983132:GPH983132 GPC73:GPH73 GPC114:GPH114 GPC116:GPH116 GPC65609:GPH65609 GPC65650:GPH65650 GPC65652:GPH65652 GPC131145:GPH131145 GPC131186:GPH131186 GPC131188:GPH131188 GPC196681:GPH196681 GPC196722:GPH196722 GPC196724:GPH196724 GPC262217:GPH262217 GPC262258:GPH262258 GPC262260:GPH262260 GPC327753:GPH327753 GPC327794:GPH327794 GPC327796:GPH327796 GPC393289:GPH393289 GPC393330:GPH393330 GPC393332:GPH393332 GPC458825:GPH458825 GPC458866:GPH458866 GPC458868:GPH458868 GPC524361:GPH524361 GPC524402:GPH524402 GPC524404:GPH524404 GPC589897:GPH589897 GPC589938:GPH589938 GPC589940:GPH589940 GPC655433:GPH655433 GPC655474:GPH655474 GPC655476:GPH655476 GPC720969:GPH720969 GPC721010:GPH721010 GPC721012:GPH721012 GPC786505:GPH786505 GPC786546:GPH786546 GPC786548:GPH786548 GPC852041:GPH852041 GPC852082:GPH852082 GPC852084:GPH852084 GPC917577:GPH917577 GPC917618:GPH917618 GPC917620:GPH917620 GPC983113:GPH983113 GPC983154:GPH983154 GPC983156:GPH983156 GYV80:GZD80 GYV92:GZD92 GYV65616:GZD65616 GYV65628:GZD65628 GYV131152:GZD131152 GYV131164:GZD131164 GYV196688:GZD196688 GYV196700:GZD196700 GYV262224:GZD262224 GYV262236:GZD262236 GYV327760:GZD327760 GYV327772:GZD327772 GYV393296:GZD393296 GYV393308:GZD393308 GYV458832:GZD458832 GYV458844:GZD458844 GYV524368:GZD524368 GYV524380:GZD524380 GYV589904:GZD589904 GYV589916:GZD589916 GYV655440:GZD655440 GYV655452:GZD655452 GYV720976:GZD720976 GYV720988:GZD720988 GYV786512:GZD786512 GYV786524:GZD786524 GYV852048:GZD852048 GYV852060:GZD852060 GYV917584:GZD917584 GYV917596:GZD917596 GYV983120:GZD983120 GYV983132:GZD983132 GYY73:GZD73 GYY114:GZD114 GYY116:GZD116 GYY65609:GZD65609 GYY65650:GZD65650 GYY65652:GZD65652 GYY131145:GZD131145 GYY131186:GZD131186 GYY131188:GZD131188 GYY196681:GZD196681 GYY196722:GZD196722 GYY196724:GZD196724 GYY262217:GZD262217 GYY262258:GZD262258 GYY262260:GZD262260 GYY327753:GZD327753 GYY327794:GZD327794 GYY327796:GZD327796 GYY393289:GZD393289 GYY393330:GZD393330 GYY393332:GZD393332 GYY458825:GZD458825 GYY458866:GZD458866 GYY458868:GZD458868 GYY524361:GZD524361 GYY524402:GZD524402 GYY524404:GZD524404 GYY589897:GZD589897 GYY589938:GZD589938 GYY589940:GZD589940 GYY655433:GZD655433 GYY655474:GZD655474 GYY655476:GZD655476 GYY720969:GZD720969 GYY721010:GZD721010 GYY721012:GZD721012 GYY786505:GZD786505 GYY786546:GZD786546 GYY786548:GZD786548 GYY852041:GZD852041 GYY852082:GZD852082 GYY852084:GZD852084 GYY917577:GZD917577 GYY917618:GZD917618 GYY917620:GZD917620 GYY983113:GZD983113 GYY983154:GZD983154 GYY983156:GZD983156 HIR80:HIZ80 HIR92:HIZ92 HIR65616:HIZ65616 HIR65628:HIZ65628 HIR131152:HIZ131152 HIR131164:HIZ131164 HIR196688:HIZ196688 HIR196700:HIZ196700 HIR262224:HIZ262224 HIR262236:HIZ262236 HIR327760:HIZ327760 HIR327772:HIZ327772 HIR393296:HIZ393296 HIR393308:HIZ393308 HIR458832:HIZ458832 HIR458844:HIZ458844 HIR524368:HIZ524368 HIR524380:HIZ524380 HIR589904:HIZ589904 HIR589916:HIZ589916 HIR655440:HIZ655440 HIR655452:HIZ655452 HIR720976:HIZ720976 HIR720988:HIZ720988 HIR786512:HIZ786512 HIR786524:HIZ786524 HIR852048:HIZ852048 HIR852060:HIZ852060 HIR917584:HIZ917584 HIR917596:HIZ917596 HIR983120:HIZ983120 HIR983132:HIZ983132 HIU73:HIZ73 HIU114:HIZ114 HIU116:HIZ116 HIU65609:HIZ65609 HIU65650:HIZ65650 HIU65652:HIZ65652 HIU131145:HIZ131145 HIU131186:HIZ131186 HIU131188:HIZ131188 HIU196681:HIZ196681 HIU196722:HIZ196722 HIU196724:HIZ196724 HIU262217:HIZ262217 HIU262258:HIZ262258 HIU262260:HIZ262260 HIU327753:HIZ327753 HIU327794:HIZ327794 HIU327796:HIZ327796 HIU393289:HIZ393289 HIU393330:HIZ393330 HIU393332:HIZ393332 HIU458825:HIZ458825 HIU458866:HIZ458866 HIU458868:HIZ458868 HIU524361:HIZ524361 HIU524402:HIZ524402 HIU524404:HIZ524404 HIU589897:HIZ589897 HIU589938:HIZ589938 HIU589940:HIZ589940 HIU655433:HIZ655433 HIU655474:HIZ655474 HIU655476:HIZ655476 HIU720969:HIZ720969 HIU721010:HIZ721010 HIU721012:HIZ721012 HIU786505:HIZ786505 HIU786546:HIZ786546 HIU786548:HIZ786548 HIU852041:HIZ852041 HIU852082:HIZ852082 HIU852084:HIZ852084 HIU917577:HIZ917577 HIU917618:HIZ917618 HIU917620:HIZ917620 HIU983113:HIZ983113 HIU983154:HIZ983154 HIU983156:HIZ983156 HSN80:HSV80 HSN92:HSV92 HSN65616:HSV65616 HSN65628:HSV65628 HSN131152:HSV131152 HSN131164:HSV131164 HSN196688:HSV196688 HSN196700:HSV196700 HSN262224:HSV262224 HSN262236:HSV262236 HSN327760:HSV327760 HSN327772:HSV327772 HSN393296:HSV393296 HSN393308:HSV393308 HSN458832:HSV458832 HSN458844:HSV458844 HSN524368:HSV524368 HSN524380:HSV524380 HSN589904:HSV589904 HSN589916:HSV589916 HSN655440:HSV655440 HSN655452:HSV655452 HSN720976:HSV720976 HSN720988:HSV720988 HSN786512:HSV786512 HSN786524:HSV786524 HSN852048:HSV852048 HSN852060:HSV852060 HSN917584:HSV917584 HSN917596:HSV917596 HSN983120:HSV983120 HSN983132:HSV983132 HSQ73:HSV73 HSQ114:HSV114 HSQ116:HSV116 HSQ65609:HSV65609 HSQ65650:HSV65650 HSQ65652:HSV65652 HSQ131145:HSV131145 HSQ131186:HSV131186 HSQ131188:HSV131188 HSQ196681:HSV196681 HSQ196722:HSV196722 HSQ196724:HSV196724 HSQ262217:HSV262217 HSQ262258:HSV262258 HSQ262260:HSV262260 HSQ327753:HSV327753 HSQ327794:HSV327794 HSQ327796:HSV327796 HSQ393289:HSV393289 HSQ393330:HSV393330 HSQ393332:HSV393332 HSQ458825:HSV458825 HSQ458866:HSV458866 HSQ458868:HSV458868 HSQ524361:HSV524361 HSQ524402:HSV524402 HSQ524404:HSV524404 HSQ589897:HSV589897 HSQ589938:HSV589938 HSQ589940:HSV589940 HSQ655433:HSV655433 HSQ655474:HSV655474 HSQ655476:HSV655476 HSQ720969:HSV720969 HSQ721010:HSV721010 HSQ721012:HSV721012 HSQ786505:HSV786505 HSQ786546:HSV786546 HSQ786548:HSV786548 HSQ852041:HSV852041 HSQ852082:HSV852082 HSQ852084:HSV852084 HSQ917577:HSV917577 HSQ917618:HSV917618 HSQ917620:HSV917620 HSQ983113:HSV983113 HSQ983154:HSV983154 HSQ983156:HSV983156 ICJ80:ICR80 ICJ92:ICR92 ICJ65616:ICR65616 ICJ65628:ICR65628 ICJ131152:ICR131152 ICJ131164:ICR131164 ICJ196688:ICR196688 ICJ196700:ICR196700 ICJ262224:ICR262224 ICJ262236:ICR262236 ICJ327760:ICR327760 ICJ327772:ICR327772 ICJ393296:ICR393296 ICJ393308:ICR393308 ICJ458832:ICR458832 ICJ458844:ICR458844 ICJ524368:ICR524368 ICJ524380:ICR524380 ICJ589904:ICR589904 ICJ589916:ICR589916 ICJ655440:ICR655440 ICJ655452:ICR655452 ICJ720976:ICR720976 ICJ720988:ICR720988 ICJ786512:ICR786512 ICJ786524:ICR786524 ICJ852048:ICR852048 ICJ852060:ICR852060 ICJ917584:ICR917584 ICJ917596:ICR917596 ICJ983120:ICR983120 ICJ983132:ICR983132 ICM73:ICR73 ICM114:ICR114 ICM116:ICR116 ICM65609:ICR65609 ICM65650:ICR65650 ICM65652:ICR65652 ICM131145:ICR131145 ICM131186:ICR131186 ICM131188:ICR131188 ICM196681:ICR196681 ICM196722:ICR196722 ICM196724:ICR196724 ICM262217:ICR262217 ICM262258:ICR262258 ICM262260:ICR262260 ICM327753:ICR327753 ICM327794:ICR327794 ICM327796:ICR327796 ICM393289:ICR393289 ICM393330:ICR393330 ICM393332:ICR393332 ICM458825:ICR458825 ICM458866:ICR458866 ICM458868:ICR458868 ICM524361:ICR524361 ICM524402:ICR524402 ICM524404:ICR524404 ICM589897:ICR589897 ICM589938:ICR589938 ICM589940:ICR589940 ICM655433:ICR655433 ICM655474:ICR655474 ICM655476:ICR655476 ICM720969:ICR720969 ICM721010:ICR721010 ICM721012:ICR721012 ICM786505:ICR786505 ICM786546:ICR786546 ICM786548:ICR786548 ICM852041:ICR852041 ICM852082:ICR852082 ICM852084:ICR852084 ICM917577:ICR917577 ICM917618:ICR917618 ICM917620:ICR917620 ICM983113:ICR983113 ICM983154:ICR983154 ICM983156:ICR983156 IMF80:IMN80 IMF92:IMN92 IMF65616:IMN65616 IMF65628:IMN65628 IMF131152:IMN131152 IMF131164:IMN131164 IMF196688:IMN196688 IMF196700:IMN196700 IMF262224:IMN262224 IMF262236:IMN262236 IMF327760:IMN327760 IMF327772:IMN327772 IMF393296:IMN393296 IMF393308:IMN393308 IMF458832:IMN458832 IMF458844:IMN458844 IMF524368:IMN524368 IMF524380:IMN524380 IMF589904:IMN589904 IMF589916:IMN589916 IMF655440:IMN655440 IMF655452:IMN655452 IMF720976:IMN720976 IMF720988:IMN720988 IMF786512:IMN786512 IMF786524:IMN786524 IMF852048:IMN852048 IMF852060:IMN852060 IMF917584:IMN917584 IMF917596:IMN917596 IMF983120:IMN983120 IMF983132:IMN983132 IMI73:IMN73 IMI114:IMN114 IMI116:IMN116 IMI65609:IMN65609 IMI65650:IMN65650 IMI65652:IMN65652 IMI131145:IMN131145 IMI131186:IMN131186 IMI131188:IMN131188 IMI196681:IMN196681 IMI196722:IMN196722 IMI196724:IMN196724 IMI262217:IMN262217 IMI262258:IMN262258 IMI262260:IMN262260 IMI327753:IMN327753 IMI327794:IMN327794 IMI327796:IMN327796 IMI393289:IMN393289 IMI393330:IMN393330 IMI393332:IMN393332 IMI458825:IMN458825 IMI458866:IMN458866 IMI458868:IMN458868 IMI524361:IMN524361 IMI524402:IMN524402 IMI524404:IMN524404 IMI589897:IMN589897 IMI589938:IMN589938 IMI589940:IMN589940 IMI655433:IMN655433 IMI655474:IMN655474 IMI655476:IMN655476 IMI720969:IMN720969 IMI721010:IMN721010 IMI721012:IMN721012 IMI786505:IMN786505 IMI786546:IMN786546 IMI786548:IMN786548 IMI852041:IMN852041 IMI852082:IMN852082 IMI852084:IMN852084 IMI917577:IMN917577 IMI917618:IMN917618 IMI917620:IMN917620 IMI983113:IMN983113 IMI983154:IMN983154 IMI983156:IMN983156 IWB80:IWJ80 IWB92:IWJ92 IWB65616:IWJ65616 IWB65628:IWJ65628 IWB131152:IWJ131152 IWB131164:IWJ131164 IWB196688:IWJ196688 IWB196700:IWJ196700 IWB262224:IWJ262224 IWB262236:IWJ262236 IWB327760:IWJ327760 IWB327772:IWJ327772 IWB393296:IWJ393296 IWB393308:IWJ393308 IWB458832:IWJ458832 IWB458844:IWJ458844 IWB524368:IWJ524368 IWB524380:IWJ524380 IWB589904:IWJ589904 IWB589916:IWJ589916 IWB655440:IWJ655440 IWB655452:IWJ655452 IWB720976:IWJ720976 IWB720988:IWJ720988 IWB786512:IWJ786512 IWB786524:IWJ786524 IWB852048:IWJ852048 IWB852060:IWJ852060 IWB917584:IWJ917584 IWB917596:IWJ917596 IWB983120:IWJ983120 IWB983132:IWJ983132 IWE73:IWJ73 IWE114:IWJ114 IWE116:IWJ116 IWE65609:IWJ65609 IWE65650:IWJ65650 IWE65652:IWJ65652 IWE131145:IWJ131145 IWE131186:IWJ131186 IWE131188:IWJ131188 IWE196681:IWJ196681 IWE196722:IWJ196722 IWE196724:IWJ196724 IWE262217:IWJ262217 IWE262258:IWJ262258 IWE262260:IWJ262260 IWE327753:IWJ327753 IWE327794:IWJ327794 IWE327796:IWJ327796 IWE393289:IWJ393289 IWE393330:IWJ393330 IWE393332:IWJ393332 IWE458825:IWJ458825 IWE458866:IWJ458866 IWE458868:IWJ458868 IWE524361:IWJ524361 IWE524402:IWJ524402 IWE524404:IWJ524404 IWE589897:IWJ589897 IWE589938:IWJ589938 IWE589940:IWJ589940 IWE655433:IWJ655433 IWE655474:IWJ655474 IWE655476:IWJ655476 IWE720969:IWJ720969 IWE721010:IWJ721010 IWE721012:IWJ721012 IWE786505:IWJ786505 IWE786546:IWJ786546 IWE786548:IWJ786548 IWE852041:IWJ852041 IWE852082:IWJ852082 IWE852084:IWJ852084 IWE917577:IWJ917577 IWE917618:IWJ917618 IWE917620:IWJ917620 IWE983113:IWJ983113 IWE983154:IWJ983154 IWE983156:IWJ983156 JFX80:JGF80 JFX92:JGF92 JFX65616:JGF65616 JFX65628:JGF65628 JFX131152:JGF131152 JFX131164:JGF131164 JFX196688:JGF196688 JFX196700:JGF196700 JFX262224:JGF262224 JFX262236:JGF262236 JFX327760:JGF327760 JFX327772:JGF327772 JFX393296:JGF393296 JFX393308:JGF393308 JFX458832:JGF458832 JFX458844:JGF458844 JFX524368:JGF524368 JFX524380:JGF524380 JFX589904:JGF589904 JFX589916:JGF589916 JFX655440:JGF655440 JFX655452:JGF655452 JFX720976:JGF720976 JFX720988:JGF720988 JFX786512:JGF786512 JFX786524:JGF786524 JFX852048:JGF852048 JFX852060:JGF852060 JFX917584:JGF917584 JFX917596:JGF917596 JFX983120:JGF983120 JFX983132:JGF983132 JGA73:JGF73 JGA114:JGF114 JGA116:JGF116 JGA65609:JGF65609 JGA65650:JGF65650 JGA65652:JGF65652 JGA131145:JGF131145 JGA131186:JGF131186 JGA131188:JGF131188 JGA196681:JGF196681 JGA196722:JGF196722 JGA196724:JGF196724 JGA262217:JGF262217 JGA262258:JGF262258 JGA262260:JGF262260 JGA327753:JGF327753 JGA327794:JGF327794 JGA327796:JGF327796 JGA393289:JGF393289 JGA393330:JGF393330 JGA393332:JGF393332 JGA458825:JGF458825 JGA458866:JGF458866 JGA458868:JGF458868 JGA524361:JGF524361 JGA524402:JGF524402 JGA524404:JGF524404 JGA589897:JGF589897 JGA589938:JGF589938 JGA589940:JGF589940 JGA655433:JGF655433 JGA655474:JGF655474 JGA655476:JGF655476 JGA720969:JGF720969 JGA721010:JGF721010 JGA721012:JGF721012 JGA786505:JGF786505 JGA786546:JGF786546 JGA786548:JGF786548 JGA852041:JGF852041 JGA852082:JGF852082 JGA852084:JGF852084 JGA917577:JGF917577 JGA917618:JGF917618 JGA917620:JGF917620 JGA983113:JGF983113 JGA983154:JGF983154 JGA983156:JGF983156 JPT80:JQB80 JPT92:JQB92 JPT65616:JQB65616 JPT65628:JQB65628 JPT131152:JQB131152 JPT131164:JQB131164 JPT196688:JQB196688 JPT196700:JQB196700 JPT262224:JQB262224 JPT262236:JQB262236 JPT327760:JQB327760 JPT327772:JQB327772 JPT393296:JQB393296 JPT393308:JQB393308 JPT458832:JQB458832 JPT458844:JQB458844 JPT524368:JQB524368 JPT524380:JQB524380 JPT589904:JQB589904 JPT589916:JQB589916 JPT655440:JQB655440 JPT655452:JQB655452 JPT720976:JQB720976 JPT720988:JQB720988 JPT786512:JQB786512 JPT786524:JQB786524 JPT852048:JQB852048 JPT852060:JQB852060 JPT917584:JQB917584 JPT917596:JQB917596 JPT983120:JQB983120 JPT983132:JQB983132 JPW73:JQB73 JPW114:JQB114 JPW116:JQB116 JPW65609:JQB65609 JPW65650:JQB65650 JPW65652:JQB65652 JPW131145:JQB131145 JPW131186:JQB131186 JPW131188:JQB131188 JPW196681:JQB196681 JPW196722:JQB196722 JPW196724:JQB196724 JPW262217:JQB262217 JPW262258:JQB262258 JPW262260:JQB262260 JPW327753:JQB327753 JPW327794:JQB327794 JPW327796:JQB327796 JPW393289:JQB393289 JPW393330:JQB393330 JPW393332:JQB393332 JPW458825:JQB458825 JPW458866:JQB458866 JPW458868:JQB458868 JPW524361:JQB524361 JPW524402:JQB524402 JPW524404:JQB524404 JPW589897:JQB589897 JPW589938:JQB589938 JPW589940:JQB589940 JPW655433:JQB655433 JPW655474:JQB655474 JPW655476:JQB655476 JPW720969:JQB720969 JPW721010:JQB721010 JPW721012:JQB721012 JPW786505:JQB786505 JPW786546:JQB786546 JPW786548:JQB786548 JPW852041:JQB852041 JPW852082:JQB852082 JPW852084:JQB852084 JPW917577:JQB917577 JPW917618:JQB917618 JPW917620:JQB917620 JPW983113:JQB983113 JPW983154:JQB983154 JPW983156:JQB983156 JZP80:JZX80 JZP92:JZX92 JZP65616:JZX65616 JZP65628:JZX65628 JZP131152:JZX131152 JZP131164:JZX131164 JZP196688:JZX196688 JZP196700:JZX196700 JZP262224:JZX262224 JZP262236:JZX262236 JZP327760:JZX327760 JZP327772:JZX327772 JZP393296:JZX393296 JZP393308:JZX393308 JZP458832:JZX458832 JZP458844:JZX458844 JZP524368:JZX524368 JZP524380:JZX524380 JZP589904:JZX589904 JZP589916:JZX589916 JZP655440:JZX655440 JZP655452:JZX655452 JZP720976:JZX720976 JZP720988:JZX720988 JZP786512:JZX786512 JZP786524:JZX786524 JZP852048:JZX852048 JZP852060:JZX852060 JZP917584:JZX917584 JZP917596:JZX917596 JZP983120:JZX983120 JZP983132:JZX983132 JZS73:JZX73 JZS114:JZX114 JZS116:JZX116 JZS65609:JZX65609 JZS65650:JZX65650 JZS65652:JZX65652 JZS131145:JZX131145 JZS131186:JZX131186 JZS131188:JZX131188 JZS196681:JZX196681 JZS196722:JZX196722 JZS196724:JZX196724 JZS262217:JZX262217 JZS262258:JZX262258 JZS262260:JZX262260 JZS327753:JZX327753 JZS327794:JZX327794 JZS327796:JZX327796 JZS393289:JZX393289 JZS393330:JZX393330 JZS393332:JZX393332 JZS458825:JZX458825 JZS458866:JZX458866 JZS458868:JZX458868 JZS524361:JZX524361 JZS524402:JZX524402 JZS524404:JZX524404 JZS589897:JZX589897 JZS589938:JZX589938 JZS589940:JZX589940 JZS655433:JZX655433 JZS655474:JZX655474 JZS655476:JZX655476 JZS720969:JZX720969 JZS721010:JZX721010 JZS721012:JZX721012 JZS786505:JZX786505 JZS786546:JZX786546 JZS786548:JZX786548 JZS852041:JZX852041 JZS852082:JZX852082 JZS852084:JZX852084 JZS917577:JZX917577 JZS917618:JZX917618 JZS917620:JZX917620 JZS983113:JZX983113 JZS983154:JZX983154 JZS983156:JZX983156 KJL80:KJT80 KJL92:KJT92 KJL65616:KJT65616 KJL65628:KJT65628 KJL131152:KJT131152 KJL131164:KJT131164 KJL196688:KJT196688 KJL196700:KJT196700 KJL262224:KJT262224 KJL262236:KJT262236 KJL327760:KJT327760 KJL327772:KJT327772 KJL393296:KJT393296 KJL393308:KJT393308 KJL458832:KJT458832 KJL458844:KJT458844 KJL524368:KJT524368 KJL524380:KJT524380 KJL589904:KJT589904 KJL589916:KJT589916 KJL655440:KJT655440 KJL655452:KJT655452 KJL720976:KJT720976 KJL720988:KJT720988 KJL786512:KJT786512 KJL786524:KJT786524 KJL852048:KJT852048 KJL852060:KJT852060 KJL917584:KJT917584 KJL917596:KJT917596 KJL983120:KJT983120 KJL983132:KJT983132 KJO73:KJT73 KJO114:KJT114 KJO116:KJT116 KJO65609:KJT65609 KJO65650:KJT65650 KJO65652:KJT65652 KJO131145:KJT131145 KJO131186:KJT131186 KJO131188:KJT131188 KJO196681:KJT196681 KJO196722:KJT196722 KJO196724:KJT196724 KJO262217:KJT262217 KJO262258:KJT262258 KJO262260:KJT262260 KJO327753:KJT327753 KJO327794:KJT327794 KJO327796:KJT327796 KJO393289:KJT393289 KJO393330:KJT393330 KJO393332:KJT393332 KJO458825:KJT458825 KJO458866:KJT458866 KJO458868:KJT458868 KJO524361:KJT524361 KJO524402:KJT524402 KJO524404:KJT524404 KJO589897:KJT589897 KJO589938:KJT589938 KJO589940:KJT589940 KJO655433:KJT655433 KJO655474:KJT655474 KJO655476:KJT655476 KJO720969:KJT720969 KJO721010:KJT721010 KJO721012:KJT721012 KJO786505:KJT786505 KJO786546:KJT786546 KJO786548:KJT786548 KJO852041:KJT852041 KJO852082:KJT852082 KJO852084:KJT852084 KJO917577:KJT917577 KJO917618:KJT917618 KJO917620:KJT917620 KJO983113:KJT983113 KJO983154:KJT983154 KJO983156:KJT983156 KTH80:KTP80 KTH92:KTP92 KTH65616:KTP65616 KTH65628:KTP65628 KTH131152:KTP131152 KTH131164:KTP131164 KTH196688:KTP196688 KTH196700:KTP196700 KTH262224:KTP262224 KTH262236:KTP262236 KTH327760:KTP327760 KTH327772:KTP327772 KTH393296:KTP393296 KTH393308:KTP393308 KTH458832:KTP458832 KTH458844:KTP458844 KTH524368:KTP524368 KTH524380:KTP524380 KTH589904:KTP589904 KTH589916:KTP589916 KTH655440:KTP655440 KTH655452:KTP655452 KTH720976:KTP720976 KTH720988:KTP720988 KTH786512:KTP786512 KTH786524:KTP786524 KTH852048:KTP852048 KTH852060:KTP852060 KTH917584:KTP917584 KTH917596:KTP917596 KTH983120:KTP983120 KTH983132:KTP983132 KTK73:KTP73 KTK114:KTP114 KTK116:KTP116 KTK65609:KTP65609 KTK65650:KTP65650 KTK65652:KTP65652 KTK131145:KTP131145 KTK131186:KTP131186 KTK131188:KTP131188 KTK196681:KTP196681 KTK196722:KTP196722 KTK196724:KTP196724 KTK262217:KTP262217 KTK262258:KTP262258 KTK262260:KTP262260 KTK327753:KTP327753 KTK327794:KTP327794 KTK327796:KTP327796 KTK393289:KTP393289 KTK393330:KTP393330 KTK393332:KTP393332 KTK458825:KTP458825 KTK458866:KTP458866 KTK458868:KTP458868 KTK524361:KTP524361 KTK524402:KTP524402 KTK524404:KTP524404 KTK589897:KTP589897 KTK589938:KTP589938 KTK589940:KTP589940 KTK655433:KTP655433 KTK655474:KTP655474 KTK655476:KTP655476 KTK720969:KTP720969 KTK721010:KTP721010 KTK721012:KTP721012 KTK786505:KTP786505 KTK786546:KTP786546 KTK786548:KTP786548 KTK852041:KTP852041 KTK852082:KTP852082 KTK852084:KTP852084 KTK917577:KTP917577 KTK917618:KTP917618 KTK917620:KTP917620 KTK983113:KTP983113 KTK983154:KTP983154 KTK983156:KTP983156 LDD80:LDL80 LDD92:LDL92 LDD65616:LDL65616 LDD65628:LDL65628 LDD131152:LDL131152 LDD131164:LDL131164 LDD196688:LDL196688 LDD196700:LDL196700 LDD262224:LDL262224 LDD262236:LDL262236 LDD327760:LDL327760 LDD327772:LDL327772 LDD393296:LDL393296 LDD393308:LDL393308 LDD458832:LDL458832 LDD458844:LDL458844 LDD524368:LDL524368 LDD524380:LDL524380 LDD589904:LDL589904 LDD589916:LDL589916 LDD655440:LDL655440 LDD655452:LDL655452 LDD720976:LDL720976 LDD720988:LDL720988 LDD786512:LDL786512 LDD786524:LDL786524 LDD852048:LDL852048 LDD852060:LDL852060 LDD917584:LDL917584 LDD917596:LDL917596 LDD983120:LDL983120 LDD983132:LDL983132 LDG73:LDL73 LDG114:LDL114 LDG116:LDL116 LDG65609:LDL65609 LDG65650:LDL65650 LDG65652:LDL65652 LDG131145:LDL131145 LDG131186:LDL131186 LDG131188:LDL131188 LDG196681:LDL196681 LDG196722:LDL196722 LDG196724:LDL196724 LDG262217:LDL262217 LDG262258:LDL262258 LDG262260:LDL262260 LDG327753:LDL327753 LDG327794:LDL327794 LDG327796:LDL327796 LDG393289:LDL393289 LDG393330:LDL393330 LDG393332:LDL393332 LDG458825:LDL458825 LDG458866:LDL458866 LDG458868:LDL458868 LDG524361:LDL524361 LDG524402:LDL524402 LDG524404:LDL524404 LDG589897:LDL589897 LDG589938:LDL589938 LDG589940:LDL589940 LDG655433:LDL655433 LDG655474:LDL655474 LDG655476:LDL655476 LDG720969:LDL720969 LDG721010:LDL721010 LDG721012:LDL721012 LDG786505:LDL786505 LDG786546:LDL786546 LDG786548:LDL786548 LDG852041:LDL852041 LDG852082:LDL852082 LDG852084:LDL852084 LDG917577:LDL917577 LDG917618:LDL917618 LDG917620:LDL917620 LDG983113:LDL983113 LDG983154:LDL983154 LDG983156:LDL983156 LMZ80:LNH80 LMZ92:LNH92 LMZ65616:LNH65616 LMZ65628:LNH65628 LMZ131152:LNH131152 LMZ131164:LNH131164 LMZ196688:LNH196688 LMZ196700:LNH196700 LMZ262224:LNH262224 LMZ262236:LNH262236 LMZ327760:LNH327760 LMZ327772:LNH327772 LMZ393296:LNH393296 LMZ393308:LNH393308 LMZ458832:LNH458832 LMZ458844:LNH458844 LMZ524368:LNH524368 LMZ524380:LNH524380 LMZ589904:LNH589904 LMZ589916:LNH589916 LMZ655440:LNH655440 LMZ655452:LNH655452 LMZ720976:LNH720976 LMZ720988:LNH720988 LMZ786512:LNH786512 LMZ786524:LNH786524 LMZ852048:LNH852048 LMZ852060:LNH852060 LMZ917584:LNH917584 LMZ917596:LNH917596 LMZ983120:LNH983120 LMZ983132:LNH983132 LNC73:LNH73 LNC114:LNH114 LNC116:LNH116 LNC65609:LNH65609 LNC65650:LNH65650 LNC65652:LNH65652 LNC131145:LNH131145 LNC131186:LNH131186 LNC131188:LNH131188 LNC196681:LNH196681 LNC196722:LNH196722 LNC196724:LNH196724 LNC262217:LNH262217 LNC262258:LNH262258 LNC262260:LNH262260 LNC327753:LNH327753 LNC327794:LNH327794 LNC327796:LNH327796 LNC393289:LNH393289 LNC393330:LNH393330 LNC393332:LNH393332 LNC458825:LNH458825 LNC458866:LNH458866 LNC458868:LNH458868 LNC524361:LNH524361 LNC524402:LNH524402 LNC524404:LNH524404 LNC589897:LNH589897 LNC589938:LNH589938 LNC589940:LNH589940 LNC655433:LNH655433 LNC655474:LNH655474 LNC655476:LNH655476 LNC720969:LNH720969 LNC721010:LNH721010 LNC721012:LNH721012 LNC786505:LNH786505 LNC786546:LNH786546 LNC786548:LNH786548 LNC852041:LNH852041 LNC852082:LNH852082 LNC852084:LNH852084 LNC917577:LNH917577 LNC917618:LNH917618 LNC917620:LNH917620 LNC983113:LNH983113 LNC983154:LNH983154 LNC983156:LNH983156 LWV80:LXD80 LWV92:LXD92 LWV65616:LXD65616 LWV65628:LXD65628 LWV131152:LXD131152 LWV131164:LXD131164 LWV196688:LXD196688 LWV196700:LXD196700 LWV262224:LXD262224 LWV262236:LXD262236 LWV327760:LXD327760 LWV327772:LXD327772 LWV393296:LXD393296 LWV393308:LXD393308 LWV458832:LXD458832 LWV458844:LXD458844 LWV524368:LXD524368 LWV524380:LXD524380 LWV589904:LXD589904 LWV589916:LXD589916 LWV655440:LXD655440 LWV655452:LXD655452 LWV720976:LXD720976 LWV720988:LXD720988 LWV786512:LXD786512 LWV786524:LXD786524 LWV852048:LXD852048 LWV852060:LXD852060 LWV917584:LXD917584 LWV917596:LXD917596 LWV983120:LXD983120 LWV983132:LXD983132 LWY73:LXD73 LWY114:LXD114 LWY116:LXD116 LWY65609:LXD65609 LWY65650:LXD65650 LWY65652:LXD65652 LWY131145:LXD131145 LWY131186:LXD131186 LWY131188:LXD131188 LWY196681:LXD196681 LWY196722:LXD196722 LWY196724:LXD196724 LWY262217:LXD262217 LWY262258:LXD262258 LWY262260:LXD262260 LWY327753:LXD327753 LWY327794:LXD327794 LWY327796:LXD327796 LWY393289:LXD393289 LWY393330:LXD393330 LWY393332:LXD393332 LWY458825:LXD458825 LWY458866:LXD458866 LWY458868:LXD458868 LWY524361:LXD524361 LWY524402:LXD524402 LWY524404:LXD524404 LWY589897:LXD589897 LWY589938:LXD589938 LWY589940:LXD589940 LWY655433:LXD655433 LWY655474:LXD655474 LWY655476:LXD655476 LWY720969:LXD720969 LWY721010:LXD721010 LWY721012:LXD721012 LWY786505:LXD786505 LWY786546:LXD786546 LWY786548:LXD786548 LWY852041:LXD852041 LWY852082:LXD852082 LWY852084:LXD852084 LWY917577:LXD917577 LWY917618:LXD917618 LWY917620:LXD917620 LWY983113:LXD983113 LWY983154:LXD983154 LWY983156:LXD983156 MGR80:MGZ80 MGR92:MGZ92 MGR65616:MGZ65616 MGR65628:MGZ65628 MGR131152:MGZ131152 MGR131164:MGZ131164 MGR196688:MGZ196688 MGR196700:MGZ196700 MGR262224:MGZ262224 MGR262236:MGZ262236 MGR327760:MGZ327760 MGR327772:MGZ327772 MGR393296:MGZ393296 MGR393308:MGZ393308 MGR458832:MGZ458832 MGR458844:MGZ458844 MGR524368:MGZ524368 MGR524380:MGZ524380 MGR589904:MGZ589904 MGR589916:MGZ589916 MGR655440:MGZ655440 MGR655452:MGZ655452 MGR720976:MGZ720976 MGR720988:MGZ720988 MGR786512:MGZ786512 MGR786524:MGZ786524 MGR852048:MGZ852048 MGR852060:MGZ852060 MGR917584:MGZ917584 MGR917596:MGZ917596 MGR983120:MGZ983120 MGR983132:MGZ983132 MGU73:MGZ73 MGU114:MGZ114 MGU116:MGZ116 MGU65609:MGZ65609 MGU65650:MGZ65650 MGU65652:MGZ65652 MGU131145:MGZ131145 MGU131186:MGZ131186 MGU131188:MGZ131188 MGU196681:MGZ196681 MGU196722:MGZ196722 MGU196724:MGZ196724 MGU262217:MGZ262217 MGU262258:MGZ262258 MGU262260:MGZ262260 MGU327753:MGZ327753 MGU327794:MGZ327794 MGU327796:MGZ327796 MGU393289:MGZ393289 MGU393330:MGZ393330 MGU393332:MGZ393332 MGU458825:MGZ458825 MGU458866:MGZ458866 MGU458868:MGZ458868 MGU524361:MGZ524361 MGU524402:MGZ524402 MGU524404:MGZ524404 MGU589897:MGZ589897 MGU589938:MGZ589938 MGU589940:MGZ589940 MGU655433:MGZ655433 MGU655474:MGZ655474 MGU655476:MGZ655476 MGU720969:MGZ720969 MGU721010:MGZ721010 MGU721012:MGZ721012 MGU786505:MGZ786505 MGU786546:MGZ786546 MGU786548:MGZ786548 MGU852041:MGZ852041 MGU852082:MGZ852082 MGU852084:MGZ852084 MGU917577:MGZ917577 MGU917618:MGZ917618 MGU917620:MGZ917620 MGU983113:MGZ983113 MGU983154:MGZ983154 MGU983156:MGZ983156 MQN80:MQV80 MQN92:MQV92 MQN65616:MQV65616 MQN65628:MQV65628 MQN131152:MQV131152 MQN131164:MQV131164 MQN196688:MQV196688 MQN196700:MQV196700 MQN262224:MQV262224 MQN262236:MQV262236 MQN327760:MQV327760 MQN327772:MQV327772 MQN393296:MQV393296 MQN393308:MQV393308 MQN458832:MQV458832 MQN458844:MQV458844 MQN524368:MQV524368 MQN524380:MQV524380 MQN589904:MQV589904 MQN589916:MQV589916 MQN655440:MQV655440 MQN655452:MQV655452 MQN720976:MQV720976 MQN720988:MQV720988 MQN786512:MQV786512 MQN786524:MQV786524 MQN852048:MQV852048 MQN852060:MQV852060 MQN917584:MQV917584 MQN917596:MQV917596 MQN983120:MQV983120 MQN983132:MQV983132 MQQ73:MQV73 MQQ114:MQV114 MQQ116:MQV116 MQQ65609:MQV65609 MQQ65650:MQV65650 MQQ65652:MQV65652 MQQ131145:MQV131145 MQQ131186:MQV131186 MQQ131188:MQV131188 MQQ196681:MQV196681 MQQ196722:MQV196722 MQQ196724:MQV196724 MQQ262217:MQV262217 MQQ262258:MQV262258 MQQ262260:MQV262260 MQQ327753:MQV327753 MQQ327794:MQV327794 MQQ327796:MQV327796 MQQ393289:MQV393289 MQQ393330:MQV393330 MQQ393332:MQV393332 MQQ458825:MQV458825 MQQ458866:MQV458866 MQQ458868:MQV458868 MQQ524361:MQV524361 MQQ524402:MQV524402 MQQ524404:MQV524404 MQQ589897:MQV589897 MQQ589938:MQV589938 MQQ589940:MQV589940 MQQ655433:MQV655433 MQQ655474:MQV655474 MQQ655476:MQV655476 MQQ720969:MQV720969 MQQ721010:MQV721010 MQQ721012:MQV721012 MQQ786505:MQV786505 MQQ786546:MQV786546 MQQ786548:MQV786548 MQQ852041:MQV852041 MQQ852082:MQV852082 MQQ852084:MQV852084 MQQ917577:MQV917577 MQQ917618:MQV917618 MQQ917620:MQV917620 MQQ983113:MQV983113 MQQ983154:MQV983154 MQQ983156:MQV983156 NAJ80:NAR80 NAJ92:NAR92 NAJ65616:NAR65616 NAJ65628:NAR65628 NAJ131152:NAR131152 NAJ131164:NAR131164 NAJ196688:NAR196688 NAJ196700:NAR196700 NAJ262224:NAR262224 NAJ262236:NAR262236 NAJ327760:NAR327760 NAJ327772:NAR327772 NAJ393296:NAR393296 NAJ393308:NAR393308 NAJ458832:NAR458832 NAJ458844:NAR458844 NAJ524368:NAR524368 NAJ524380:NAR524380 NAJ589904:NAR589904 NAJ589916:NAR589916 NAJ655440:NAR655440 NAJ655452:NAR655452 NAJ720976:NAR720976 NAJ720988:NAR720988 NAJ786512:NAR786512 NAJ786524:NAR786524 NAJ852048:NAR852048 NAJ852060:NAR852060 NAJ917584:NAR917584 NAJ917596:NAR917596 NAJ983120:NAR983120 NAJ983132:NAR983132 NAM73:NAR73 NAM114:NAR114 NAM116:NAR116 NAM65609:NAR65609 NAM65650:NAR65650 NAM65652:NAR65652 NAM131145:NAR131145 NAM131186:NAR131186 NAM131188:NAR131188 NAM196681:NAR196681 NAM196722:NAR196722 NAM196724:NAR196724 NAM262217:NAR262217 NAM262258:NAR262258 NAM262260:NAR262260 NAM327753:NAR327753 NAM327794:NAR327794 NAM327796:NAR327796 NAM393289:NAR393289 NAM393330:NAR393330 NAM393332:NAR393332 NAM458825:NAR458825 NAM458866:NAR458866 NAM458868:NAR458868 NAM524361:NAR524361 NAM524402:NAR524402 NAM524404:NAR524404 NAM589897:NAR589897 NAM589938:NAR589938 NAM589940:NAR589940 NAM655433:NAR655433 NAM655474:NAR655474 NAM655476:NAR655476 NAM720969:NAR720969 NAM721010:NAR721010 NAM721012:NAR721012 NAM786505:NAR786505 NAM786546:NAR786546 NAM786548:NAR786548 NAM852041:NAR852041 NAM852082:NAR852082 NAM852084:NAR852084 NAM917577:NAR917577 NAM917618:NAR917618 NAM917620:NAR917620 NAM983113:NAR983113 NAM983154:NAR983154 NAM983156:NAR983156 NKF80:NKN80 NKF92:NKN92 NKF65616:NKN65616 NKF65628:NKN65628 NKF131152:NKN131152 NKF131164:NKN131164 NKF196688:NKN196688 NKF196700:NKN196700 NKF262224:NKN262224 NKF262236:NKN262236 NKF327760:NKN327760 NKF327772:NKN327772 NKF393296:NKN393296 NKF393308:NKN393308 NKF458832:NKN458832 NKF458844:NKN458844 NKF524368:NKN524368 NKF524380:NKN524380 NKF589904:NKN589904 NKF589916:NKN589916 NKF655440:NKN655440 NKF655452:NKN655452 NKF720976:NKN720976 NKF720988:NKN720988 NKF786512:NKN786512 NKF786524:NKN786524 NKF852048:NKN852048 NKF852060:NKN852060 NKF917584:NKN917584 NKF917596:NKN917596 NKF983120:NKN983120 NKF983132:NKN983132 NKI73:NKN73 NKI114:NKN114 NKI116:NKN116 NKI65609:NKN65609 NKI65650:NKN65650 NKI65652:NKN65652 NKI131145:NKN131145 NKI131186:NKN131186 NKI131188:NKN131188 NKI196681:NKN196681 NKI196722:NKN196722 NKI196724:NKN196724 NKI262217:NKN262217 NKI262258:NKN262258 NKI262260:NKN262260 NKI327753:NKN327753 NKI327794:NKN327794 NKI327796:NKN327796 NKI393289:NKN393289 NKI393330:NKN393330 NKI393332:NKN393332 NKI458825:NKN458825 NKI458866:NKN458866 NKI458868:NKN458868 NKI524361:NKN524361 NKI524402:NKN524402 NKI524404:NKN524404 NKI589897:NKN589897 NKI589938:NKN589938 NKI589940:NKN589940 NKI655433:NKN655433 NKI655474:NKN655474 NKI655476:NKN655476 NKI720969:NKN720969 NKI721010:NKN721010 NKI721012:NKN721012 NKI786505:NKN786505 NKI786546:NKN786546 NKI786548:NKN786548 NKI852041:NKN852041 NKI852082:NKN852082 NKI852084:NKN852084 NKI917577:NKN917577 NKI917618:NKN917618 NKI917620:NKN917620 NKI983113:NKN983113 NKI983154:NKN983154 NKI983156:NKN983156 NUB80:NUJ80 NUB92:NUJ92 NUB65616:NUJ65616 NUB65628:NUJ65628 NUB131152:NUJ131152 NUB131164:NUJ131164 NUB196688:NUJ196688 NUB196700:NUJ196700 NUB262224:NUJ262224 NUB262236:NUJ262236 NUB327760:NUJ327760 NUB327772:NUJ327772 NUB393296:NUJ393296 NUB393308:NUJ393308 NUB458832:NUJ458832 NUB458844:NUJ458844 NUB524368:NUJ524368 NUB524380:NUJ524380 NUB589904:NUJ589904 NUB589916:NUJ589916 NUB655440:NUJ655440 NUB655452:NUJ655452 NUB720976:NUJ720976 NUB720988:NUJ720988 NUB786512:NUJ786512 NUB786524:NUJ786524 NUB852048:NUJ852048 NUB852060:NUJ852060 NUB917584:NUJ917584 NUB917596:NUJ917596 NUB983120:NUJ983120 NUB983132:NUJ983132 NUE73:NUJ73 NUE114:NUJ114 NUE116:NUJ116 NUE65609:NUJ65609 NUE65650:NUJ65650 NUE65652:NUJ65652 NUE131145:NUJ131145 NUE131186:NUJ131186 NUE131188:NUJ131188 NUE196681:NUJ196681 NUE196722:NUJ196722 NUE196724:NUJ196724 NUE262217:NUJ262217 NUE262258:NUJ262258 NUE262260:NUJ262260 NUE327753:NUJ327753 NUE327794:NUJ327794 NUE327796:NUJ327796 NUE393289:NUJ393289 NUE393330:NUJ393330 NUE393332:NUJ393332 NUE458825:NUJ458825 NUE458866:NUJ458866 NUE458868:NUJ458868 NUE524361:NUJ524361 NUE524402:NUJ524402 NUE524404:NUJ524404 NUE589897:NUJ589897 NUE589938:NUJ589938 NUE589940:NUJ589940 NUE655433:NUJ655433 NUE655474:NUJ655474 NUE655476:NUJ655476 NUE720969:NUJ720969 NUE721010:NUJ721010 NUE721012:NUJ721012 NUE786505:NUJ786505 NUE786546:NUJ786546 NUE786548:NUJ786548 NUE852041:NUJ852041 NUE852082:NUJ852082 NUE852084:NUJ852084 NUE917577:NUJ917577 NUE917618:NUJ917618 NUE917620:NUJ917620 NUE983113:NUJ983113 NUE983154:NUJ983154 NUE983156:NUJ983156 ODX80:OEF80 ODX92:OEF92 ODX65616:OEF65616 ODX65628:OEF65628 ODX131152:OEF131152 ODX131164:OEF131164 ODX196688:OEF196688 ODX196700:OEF196700 ODX262224:OEF262224 ODX262236:OEF262236 ODX327760:OEF327760 ODX327772:OEF327772 ODX393296:OEF393296 ODX393308:OEF393308 ODX458832:OEF458832 ODX458844:OEF458844 ODX524368:OEF524368 ODX524380:OEF524380 ODX589904:OEF589904 ODX589916:OEF589916 ODX655440:OEF655440 ODX655452:OEF655452 ODX720976:OEF720976 ODX720988:OEF720988 ODX786512:OEF786512 ODX786524:OEF786524 ODX852048:OEF852048 ODX852060:OEF852060 ODX917584:OEF917584 ODX917596:OEF917596 ODX983120:OEF983120 ODX983132:OEF983132 OEA73:OEF73 OEA114:OEF114 OEA116:OEF116 OEA65609:OEF65609 OEA65650:OEF65650 OEA65652:OEF65652 OEA131145:OEF131145 OEA131186:OEF131186 OEA131188:OEF131188 OEA196681:OEF196681 OEA196722:OEF196722 OEA196724:OEF196724 OEA262217:OEF262217 OEA262258:OEF262258 OEA262260:OEF262260 OEA327753:OEF327753 OEA327794:OEF327794 OEA327796:OEF327796 OEA393289:OEF393289 OEA393330:OEF393330 OEA393332:OEF393332 OEA458825:OEF458825 OEA458866:OEF458866 OEA458868:OEF458868 OEA524361:OEF524361 OEA524402:OEF524402 OEA524404:OEF524404 OEA589897:OEF589897 OEA589938:OEF589938 OEA589940:OEF589940 OEA655433:OEF655433 OEA655474:OEF655474 OEA655476:OEF655476 OEA720969:OEF720969 OEA721010:OEF721010 OEA721012:OEF721012 OEA786505:OEF786505 OEA786546:OEF786546 OEA786548:OEF786548 OEA852041:OEF852041 OEA852082:OEF852082 OEA852084:OEF852084 OEA917577:OEF917577 OEA917618:OEF917618 OEA917620:OEF917620 OEA983113:OEF983113 OEA983154:OEF983154 OEA983156:OEF983156 ONT80:OOB80 ONT92:OOB92 ONT65616:OOB65616 ONT65628:OOB65628 ONT131152:OOB131152 ONT131164:OOB131164 ONT196688:OOB196688 ONT196700:OOB196700 ONT262224:OOB262224 ONT262236:OOB262236 ONT327760:OOB327760 ONT327772:OOB327772 ONT393296:OOB393296 ONT393308:OOB393308 ONT458832:OOB458832 ONT458844:OOB458844 ONT524368:OOB524368 ONT524380:OOB524380 ONT589904:OOB589904 ONT589916:OOB589916 ONT655440:OOB655440 ONT655452:OOB655452 ONT720976:OOB720976 ONT720988:OOB720988 ONT786512:OOB786512 ONT786524:OOB786524 ONT852048:OOB852048 ONT852060:OOB852060 ONT917584:OOB917584 ONT917596:OOB917596 ONT983120:OOB983120 ONT983132:OOB983132 ONW73:OOB73 ONW114:OOB114 ONW116:OOB116 ONW65609:OOB65609 ONW65650:OOB65650 ONW65652:OOB65652 ONW131145:OOB131145 ONW131186:OOB131186 ONW131188:OOB131188 ONW196681:OOB196681 ONW196722:OOB196722 ONW196724:OOB196724 ONW262217:OOB262217 ONW262258:OOB262258 ONW262260:OOB262260 ONW327753:OOB327753 ONW327794:OOB327794 ONW327796:OOB327796 ONW393289:OOB393289 ONW393330:OOB393330 ONW393332:OOB393332 ONW458825:OOB458825 ONW458866:OOB458866 ONW458868:OOB458868 ONW524361:OOB524361 ONW524402:OOB524402 ONW524404:OOB524404 ONW589897:OOB589897 ONW589938:OOB589938 ONW589940:OOB589940 ONW655433:OOB655433 ONW655474:OOB655474 ONW655476:OOB655476 ONW720969:OOB720969 ONW721010:OOB721010 ONW721012:OOB721012 ONW786505:OOB786505 ONW786546:OOB786546 ONW786548:OOB786548 ONW852041:OOB852041 ONW852082:OOB852082 ONW852084:OOB852084 ONW917577:OOB917577 ONW917618:OOB917618 ONW917620:OOB917620 ONW983113:OOB983113 ONW983154:OOB983154 ONW983156:OOB983156 OXP80:OXX80 OXP92:OXX92 OXP65616:OXX65616 OXP65628:OXX65628 OXP131152:OXX131152 OXP131164:OXX131164 OXP196688:OXX196688 OXP196700:OXX196700 OXP262224:OXX262224 OXP262236:OXX262236 OXP327760:OXX327760 OXP327772:OXX327772 OXP393296:OXX393296 OXP393308:OXX393308 OXP458832:OXX458832 OXP458844:OXX458844 OXP524368:OXX524368 OXP524380:OXX524380 OXP589904:OXX589904 OXP589916:OXX589916 OXP655440:OXX655440 OXP655452:OXX655452 OXP720976:OXX720976 OXP720988:OXX720988 OXP786512:OXX786512 OXP786524:OXX786524 OXP852048:OXX852048 OXP852060:OXX852060 OXP917584:OXX917584 OXP917596:OXX917596 OXP983120:OXX983120 OXP983132:OXX983132 OXS73:OXX73 OXS114:OXX114 OXS116:OXX116 OXS65609:OXX65609 OXS65650:OXX65650 OXS65652:OXX65652 OXS131145:OXX131145 OXS131186:OXX131186 OXS131188:OXX131188 OXS196681:OXX196681 OXS196722:OXX196722 OXS196724:OXX196724 OXS262217:OXX262217 OXS262258:OXX262258 OXS262260:OXX262260 OXS327753:OXX327753 OXS327794:OXX327794 OXS327796:OXX327796 OXS393289:OXX393289 OXS393330:OXX393330 OXS393332:OXX393332 OXS458825:OXX458825 OXS458866:OXX458866 OXS458868:OXX458868 OXS524361:OXX524361 OXS524402:OXX524402 OXS524404:OXX524404 OXS589897:OXX589897 OXS589938:OXX589938 OXS589940:OXX589940 OXS655433:OXX655433 OXS655474:OXX655474 OXS655476:OXX655476 OXS720969:OXX720969 OXS721010:OXX721010 OXS721012:OXX721012 OXS786505:OXX786505 OXS786546:OXX786546 OXS786548:OXX786548 OXS852041:OXX852041 OXS852082:OXX852082 OXS852084:OXX852084 OXS917577:OXX917577 OXS917618:OXX917618 OXS917620:OXX917620 OXS983113:OXX983113 OXS983154:OXX983154 OXS983156:OXX983156 PHL80:PHT80 PHL92:PHT92 PHL65616:PHT65616 PHL65628:PHT65628 PHL131152:PHT131152 PHL131164:PHT131164 PHL196688:PHT196688 PHL196700:PHT196700 PHL262224:PHT262224 PHL262236:PHT262236 PHL327760:PHT327760 PHL327772:PHT327772 PHL393296:PHT393296 PHL393308:PHT393308 PHL458832:PHT458832 PHL458844:PHT458844 PHL524368:PHT524368 PHL524380:PHT524380 PHL589904:PHT589904 PHL589916:PHT589916 PHL655440:PHT655440 PHL655452:PHT655452 PHL720976:PHT720976 PHL720988:PHT720988 PHL786512:PHT786512 PHL786524:PHT786524 PHL852048:PHT852048 PHL852060:PHT852060 PHL917584:PHT917584 PHL917596:PHT917596 PHL983120:PHT983120 PHL983132:PHT983132 PHO73:PHT73 PHO114:PHT114 PHO116:PHT116 PHO65609:PHT65609 PHO65650:PHT65650 PHO65652:PHT65652 PHO131145:PHT131145 PHO131186:PHT131186 PHO131188:PHT131188 PHO196681:PHT196681 PHO196722:PHT196722 PHO196724:PHT196724 PHO262217:PHT262217 PHO262258:PHT262258 PHO262260:PHT262260 PHO327753:PHT327753 PHO327794:PHT327794 PHO327796:PHT327796 PHO393289:PHT393289 PHO393330:PHT393330 PHO393332:PHT393332 PHO458825:PHT458825 PHO458866:PHT458866 PHO458868:PHT458868 PHO524361:PHT524361 PHO524402:PHT524402 PHO524404:PHT524404 PHO589897:PHT589897 PHO589938:PHT589938 PHO589940:PHT589940 PHO655433:PHT655433 PHO655474:PHT655474 PHO655476:PHT655476 PHO720969:PHT720969 PHO721010:PHT721010 PHO721012:PHT721012 PHO786505:PHT786505 PHO786546:PHT786546 PHO786548:PHT786548 PHO852041:PHT852041 PHO852082:PHT852082 PHO852084:PHT852084 PHO917577:PHT917577 PHO917618:PHT917618 PHO917620:PHT917620 PHO983113:PHT983113 PHO983154:PHT983154 PHO983156:PHT983156 PRH80:PRP80 PRH92:PRP92 PRH65616:PRP65616 PRH65628:PRP65628 PRH131152:PRP131152 PRH131164:PRP131164 PRH196688:PRP196688 PRH196700:PRP196700 PRH262224:PRP262224 PRH262236:PRP262236 PRH327760:PRP327760 PRH327772:PRP327772 PRH393296:PRP393296 PRH393308:PRP393308 PRH458832:PRP458832 PRH458844:PRP458844 PRH524368:PRP524368 PRH524380:PRP524380 PRH589904:PRP589904 PRH589916:PRP589916 PRH655440:PRP655440 PRH655452:PRP655452 PRH720976:PRP720976 PRH720988:PRP720988 PRH786512:PRP786512 PRH786524:PRP786524 PRH852048:PRP852048 PRH852060:PRP852060 PRH917584:PRP917584 PRH917596:PRP917596 PRH983120:PRP983120 PRH983132:PRP983132 PRK73:PRP73 PRK114:PRP114 PRK116:PRP116 PRK65609:PRP65609 PRK65650:PRP65650 PRK65652:PRP65652 PRK131145:PRP131145 PRK131186:PRP131186 PRK131188:PRP131188 PRK196681:PRP196681 PRK196722:PRP196722 PRK196724:PRP196724 PRK262217:PRP262217 PRK262258:PRP262258 PRK262260:PRP262260 PRK327753:PRP327753 PRK327794:PRP327794 PRK327796:PRP327796 PRK393289:PRP393289 PRK393330:PRP393330 PRK393332:PRP393332 PRK458825:PRP458825 PRK458866:PRP458866 PRK458868:PRP458868 PRK524361:PRP524361 PRK524402:PRP524402 PRK524404:PRP524404 PRK589897:PRP589897 PRK589938:PRP589938 PRK589940:PRP589940 PRK655433:PRP655433 PRK655474:PRP655474 PRK655476:PRP655476 PRK720969:PRP720969 PRK721010:PRP721010 PRK721012:PRP721012 PRK786505:PRP786505 PRK786546:PRP786546 PRK786548:PRP786548 PRK852041:PRP852041 PRK852082:PRP852082 PRK852084:PRP852084 PRK917577:PRP917577 PRK917618:PRP917618 PRK917620:PRP917620 PRK983113:PRP983113 PRK983154:PRP983154 PRK983156:PRP983156 QBD80:QBL80 QBD92:QBL92 QBD65616:QBL65616 QBD65628:QBL65628 QBD131152:QBL131152 QBD131164:QBL131164 QBD196688:QBL196688 QBD196700:QBL196700 QBD262224:QBL262224 QBD262236:QBL262236 QBD327760:QBL327760 QBD327772:QBL327772 QBD393296:QBL393296 QBD393308:QBL393308 QBD458832:QBL458832 QBD458844:QBL458844 QBD524368:QBL524368 QBD524380:QBL524380 QBD589904:QBL589904 QBD589916:QBL589916 QBD655440:QBL655440 QBD655452:QBL655452 QBD720976:QBL720976 QBD720988:QBL720988 QBD786512:QBL786512 QBD786524:QBL786524 QBD852048:QBL852048 QBD852060:QBL852060 QBD917584:QBL917584 QBD917596:QBL917596 QBD983120:QBL983120 QBD983132:QBL983132 QBG73:QBL73 QBG114:QBL114 QBG116:QBL116 QBG65609:QBL65609 QBG65650:QBL65650 QBG65652:QBL65652 QBG131145:QBL131145 QBG131186:QBL131186 QBG131188:QBL131188 QBG196681:QBL196681 QBG196722:QBL196722 QBG196724:QBL196724 QBG262217:QBL262217 QBG262258:QBL262258 QBG262260:QBL262260 QBG327753:QBL327753 QBG327794:QBL327794 QBG327796:QBL327796 QBG393289:QBL393289 QBG393330:QBL393330 QBG393332:QBL393332 QBG458825:QBL458825 QBG458866:QBL458866 QBG458868:QBL458868 QBG524361:QBL524361 QBG524402:QBL524402 QBG524404:QBL524404 QBG589897:QBL589897 QBG589938:QBL589938 QBG589940:QBL589940 QBG655433:QBL655433 QBG655474:QBL655474 QBG655476:QBL655476 QBG720969:QBL720969 QBG721010:QBL721010 QBG721012:QBL721012 QBG786505:QBL786505 QBG786546:QBL786546 QBG786548:QBL786548 QBG852041:QBL852041 QBG852082:QBL852082 QBG852084:QBL852084 QBG917577:QBL917577 QBG917618:QBL917618 QBG917620:QBL917620 QBG983113:QBL983113 QBG983154:QBL983154 QBG983156:QBL983156 QKZ80:QLH80 QKZ92:QLH92 QKZ65616:QLH65616 QKZ65628:QLH65628 QKZ131152:QLH131152 QKZ131164:QLH131164 QKZ196688:QLH196688 QKZ196700:QLH196700 QKZ262224:QLH262224 QKZ262236:QLH262236 QKZ327760:QLH327760 QKZ327772:QLH327772 QKZ393296:QLH393296 QKZ393308:QLH393308 QKZ458832:QLH458832 QKZ458844:QLH458844 QKZ524368:QLH524368 QKZ524380:QLH524380 QKZ589904:QLH589904 QKZ589916:QLH589916 QKZ655440:QLH655440 QKZ655452:QLH655452 QKZ720976:QLH720976 QKZ720988:QLH720988 QKZ786512:QLH786512 QKZ786524:QLH786524 QKZ852048:QLH852048 QKZ852060:QLH852060 QKZ917584:QLH917584 QKZ917596:QLH917596 QKZ983120:QLH983120 QKZ983132:QLH983132 QLC73:QLH73 QLC114:QLH114 QLC116:QLH116 QLC65609:QLH65609 QLC65650:QLH65650 QLC65652:QLH65652 QLC131145:QLH131145 QLC131186:QLH131186 QLC131188:QLH131188 QLC196681:QLH196681 QLC196722:QLH196722 QLC196724:QLH196724 QLC262217:QLH262217 QLC262258:QLH262258 QLC262260:QLH262260 QLC327753:QLH327753 QLC327794:QLH327794 QLC327796:QLH327796 QLC393289:QLH393289 QLC393330:QLH393330 QLC393332:QLH393332 QLC458825:QLH458825 QLC458866:QLH458866 QLC458868:QLH458868 QLC524361:QLH524361 QLC524402:QLH524402 QLC524404:QLH524404 QLC589897:QLH589897 QLC589938:QLH589938 QLC589940:QLH589940 QLC655433:QLH655433 QLC655474:QLH655474 QLC655476:QLH655476 QLC720969:QLH720969 QLC721010:QLH721010 QLC721012:QLH721012 QLC786505:QLH786505 QLC786546:QLH786546 QLC786548:QLH786548 QLC852041:QLH852041 QLC852082:QLH852082 QLC852084:QLH852084 QLC917577:QLH917577 QLC917618:QLH917618 QLC917620:QLH917620 QLC983113:QLH983113 QLC983154:QLH983154 QLC983156:QLH983156 QUV80:QVD80 QUV92:QVD92 QUV65616:QVD65616 QUV65628:QVD65628 QUV131152:QVD131152 QUV131164:QVD131164 QUV196688:QVD196688 QUV196700:QVD196700 QUV262224:QVD262224 QUV262236:QVD262236 QUV327760:QVD327760 QUV327772:QVD327772 QUV393296:QVD393296 QUV393308:QVD393308 QUV458832:QVD458832 QUV458844:QVD458844 QUV524368:QVD524368 QUV524380:QVD524380 QUV589904:QVD589904 QUV589916:QVD589916 QUV655440:QVD655440 QUV655452:QVD655452 QUV720976:QVD720976 QUV720988:QVD720988 QUV786512:QVD786512 QUV786524:QVD786524 QUV852048:QVD852048 QUV852060:QVD852060 QUV917584:QVD917584 QUV917596:QVD917596 QUV983120:QVD983120 QUV983132:QVD983132 QUY73:QVD73 QUY114:QVD114 QUY116:QVD116 QUY65609:QVD65609 QUY65650:QVD65650 QUY65652:QVD65652 QUY131145:QVD131145 QUY131186:QVD131186 QUY131188:QVD131188 QUY196681:QVD196681 QUY196722:QVD196722 QUY196724:QVD196724 QUY262217:QVD262217 QUY262258:QVD262258 QUY262260:QVD262260 QUY327753:QVD327753 QUY327794:QVD327794 QUY327796:QVD327796 QUY393289:QVD393289 QUY393330:QVD393330 QUY393332:QVD393332 QUY458825:QVD458825 QUY458866:QVD458866 QUY458868:QVD458868 QUY524361:QVD524361 QUY524402:QVD524402 QUY524404:QVD524404 QUY589897:QVD589897 QUY589938:QVD589938 QUY589940:QVD589940 QUY655433:QVD655433 QUY655474:QVD655474 QUY655476:QVD655476 QUY720969:QVD720969 QUY721010:QVD721010 QUY721012:QVD721012 QUY786505:QVD786505 QUY786546:QVD786546 QUY786548:QVD786548 QUY852041:QVD852041 QUY852082:QVD852082 QUY852084:QVD852084 QUY917577:QVD917577 QUY917618:QVD917618 QUY917620:QVD917620 QUY983113:QVD983113 QUY983154:QVD983154 QUY983156:QVD983156 RER80:REZ80 RER92:REZ92 RER65616:REZ65616 RER65628:REZ65628 RER131152:REZ131152 RER131164:REZ131164 RER196688:REZ196688 RER196700:REZ196700 RER262224:REZ262224 RER262236:REZ262236 RER327760:REZ327760 RER327772:REZ327772 RER393296:REZ393296 RER393308:REZ393308 RER458832:REZ458832 RER458844:REZ458844 RER524368:REZ524368 RER524380:REZ524380 RER589904:REZ589904 RER589916:REZ589916 RER655440:REZ655440 RER655452:REZ655452 RER720976:REZ720976 RER720988:REZ720988 RER786512:REZ786512 RER786524:REZ786524 RER852048:REZ852048 RER852060:REZ852060 RER917584:REZ917584 RER917596:REZ917596 RER983120:REZ983120 RER983132:REZ983132 REU73:REZ73 REU114:REZ114 REU116:REZ116 REU65609:REZ65609 REU65650:REZ65650 REU65652:REZ65652 REU131145:REZ131145 REU131186:REZ131186 REU131188:REZ131188 REU196681:REZ196681 REU196722:REZ196722 REU196724:REZ196724 REU262217:REZ262217 REU262258:REZ262258 REU262260:REZ262260 REU327753:REZ327753 REU327794:REZ327794 REU327796:REZ327796 REU393289:REZ393289 REU393330:REZ393330 REU393332:REZ393332 REU458825:REZ458825 REU458866:REZ458866 REU458868:REZ458868 REU524361:REZ524361 REU524402:REZ524402 REU524404:REZ524404 REU589897:REZ589897 REU589938:REZ589938 REU589940:REZ589940 REU655433:REZ655433 REU655474:REZ655474 REU655476:REZ655476 REU720969:REZ720969 REU721010:REZ721010 REU721012:REZ721012 REU786505:REZ786505 REU786546:REZ786546 REU786548:REZ786548 REU852041:REZ852041 REU852082:REZ852082 REU852084:REZ852084 REU917577:REZ917577 REU917618:REZ917618 REU917620:REZ917620 REU983113:REZ983113 REU983154:REZ983154 REU983156:REZ983156 RON80:ROV80 RON92:ROV92 RON65616:ROV65616 RON65628:ROV65628 RON131152:ROV131152 RON131164:ROV131164 RON196688:ROV196688 RON196700:ROV196700 RON262224:ROV262224 RON262236:ROV262236 RON327760:ROV327760 RON327772:ROV327772 RON393296:ROV393296 RON393308:ROV393308 RON458832:ROV458832 RON458844:ROV458844 RON524368:ROV524368 RON524380:ROV524380 RON589904:ROV589904 RON589916:ROV589916 RON655440:ROV655440 RON655452:ROV655452 RON720976:ROV720976 RON720988:ROV720988 RON786512:ROV786512 RON786524:ROV786524 RON852048:ROV852048 RON852060:ROV852060 RON917584:ROV917584 RON917596:ROV917596 RON983120:ROV983120 RON983132:ROV983132 ROQ73:ROV73 ROQ114:ROV114 ROQ116:ROV116 ROQ65609:ROV65609 ROQ65650:ROV65650 ROQ65652:ROV65652 ROQ131145:ROV131145 ROQ131186:ROV131186 ROQ131188:ROV131188 ROQ196681:ROV196681 ROQ196722:ROV196722 ROQ196724:ROV196724 ROQ262217:ROV262217 ROQ262258:ROV262258 ROQ262260:ROV262260 ROQ327753:ROV327753 ROQ327794:ROV327794 ROQ327796:ROV327796 ROQ393289:ROV393289 ROQ393330:ROV393330 ROQ393332:ROV393332 ROQ458825:ROV458825 ROQ458866:ROV458866 ROQ458868:ROV458868 ROQ524361:ROV524361 ROQ524402:ROV524402 ROQ524404:ROV524404 ROQ589897:ROV589897 ROQ589938:ROV589938 ROQ589940:ROV589940 ROQ655433:ROV655433 ROQ655474:ROV655474 ROQ655476:ROV655476 ROQ720969:ROV720969 ROQ721010:ROV721010 ROQ721012:ROV721012 ROQ786505:ROV786505 ROQ786546:ROV786546 ROQ786548:ROV786548 ROQ852041:ROV852041 ROQ852082:ROV852082 ROQ852084:ROV852084 ROQ917577:ROV917577 ROQ917618:ROV917618 ROQ917620:ROV917620 ROQ983113:ROV983113 ROQ983154:ROV983154 ROQ983156:ROV983156 RYJ80:RYR80 RYJ92:RYR92 RYJ65616:RYR65616 RYJ65628:RYR65628 RYJ131152:RYR131152 RYJ131164:RYR131164 RYJ196688:RYR196688 RYJ196700:RYR196700 RYJ262224:RYR262224 RYJ262236:RYR262236 RYJ327760:RYR327760 RYJ327772:RYR327772 RYJ393296:RYR393296 RYJ393308:RYR393308 RYJ458832:RYR458832 RYJ458844:RYR458844 RYJ524368:RYR524368 RYJ524380:RYR524380 RYJ589904:RYR589904 RYJ589916:RYR589916 RYJ655440:RYR655440 RYJ655452:RYR655452 RYJ720976:RYR720976 RYJ720988:RYR720988 RYJ786512:RYR786512 RYJ786524:RYR786524 RYJ852048:RYR852048 RYJ852060:RYR852060 RYJ917584:RYR917584 RYJ917596:RYR917596 RYJ983120:RYR983120 RYJ983132:RYR983132 RYM73:RYR73 RYM114:RYR114 RYM116:RYR116 RYM65609:RYR65609 RYM65650:RYR65650 RYM65652:RYR65652 RYM131145:RYR131145 RYM131186:RYR131186 RYM131188:RYR131188 RYM196681:RYR196681 RYM196722:RYR196722 RYM196724:RYR196724 RYM262217:RYR262217 RYM262258:RYR262258 RYM262260:RYR262260 RYM327753:RYR327753 RYM327794:RYR327794 RYM327796:RYR327796 RYM393289:RYR393289 RYM393330:RYR393330 RYM393332:RYR393332 RYM458825:RYR458825 RYM458866:RYR458866 RYM458868:RYR458868 RYM524361:RYR524361 RYM524402:RYR524402 RYM524404:RYR524404 RYM589897:RYR589897 RYM589938:RYR589938 RYM589940:RYR589940 RYM655433:RYR655433 RYM655474:RYR655474 RYM655476:RYR655476 RYM720969:RYR720969 RYM721010:RYR721010 RYM721012:RYR721012 RYM786505:RYR786505 RYM786546:RYR786546 RYM786548:RYR786548 RYM852041:RYR852041 RYM852082:RYR852082 RYM852084:RYR852084 RYM917577:RYR917577 RYM917618:RYR917618 RYM917620:RYR917620 RYM983113:RYR983113 RYM983154:RYR983154 RYM983156:RYR983156 SIF80:SIN80 SIF92:SIN92 SIF65616:SIN65616 SIF65628:SIN65628 SIF131152:SIN131152 SIF131164:SIN131164 SIF196688:SIN196688 SIF196700:SIN196700 SIF262224:SIN262224 SIF262236:SIN262236 SIF327760:SIN327760 SIF327772:SIN327772 SIF393296:SIN393296 SIF393308:SIN393308 SIF458832:SIN458832 SIF458844:SIN458844 SIF524368:SIN524368 SIF524380:SIN524380 SIF589904:SIN589904 SIF589916:SIN589916 SIF655440:SIN655440 SIF655452:SIN655452 SIF720976:SIN720976 SIF720988:SIN720988 SIF786512:SIN786512 SIF786524:SIN786524 SIF852048:SIN852048 SIF852060:SIN852060 SIF917584:SIN917584 SIF917596:SIN917596 SIF983120:SIN983120 SIF983132:SIN983132 SII73:SIN73 SII114:SIN114 SII116:SIN116 SII65609:SIN65609 SII65650:SIN65650 SII65652:SIN65652 SII131145:SIN131145 SII131186:SIN131186 SII131188:SIN131188 SII196681:SIN196681 SII196722:SIN196722 SII196724:SIN196724 SII262217:SIN262217 SII262258:SIN262258 SII262260:SIN262260 SII327753:SIN327753 SII327794:SIN327794 SII327796:SIN327796 SII393289:SIN393289 SII393330:SIN393330 SII393332:SIN393332 SII458825:SIN458825 SII458866:SIN458866 SII458868:SIN458868 SII524361:SIN524361 SII524402:SIN524402 SII524404:SIN524404 SII589897:SIN589897 SII589938:SIN589938 SII589940:SIN589940 SII655433:SIN655433 SII655474:SIN655474 SII655476:SIN655476 SII720969:SIN720969 SII721010:SIN721010 SII721012:SIN721012 SII786505:SIN786505 SII786546:SIN786546 SII786548:SIN786548 SII852041:SIN852041 SII852082:SIN852082 SII852084:SIN852084 SII917577:SIN917577 SII917618:SIN917618 SII917620:SIN917620 SII983113:SIN983113 SII983154:SIN983154 SII983156:SIN983156 SSB80:SSJ80 SSB92:SSJ92 SSB65616:SSJ65616 SSB65628:SSJ65628 SSB131152:SSJ131152 SSB131164:SSJ131164 SSB196688:SSJ196688 SSB196700:SSJ196700 SSB262224:SSJ262224 SSB262236:SSJ262236 SSB327760:SSJ327760 SSB327772:SSJ327772 SSB393296:SSJ393296 SSB393308:SSJ393308 SSB458832:SSJ458832 SSB458844:SSJ458844 SSB524368:SSJ524368 SSB524380:SSJ524380 SSB589904:SSJ589904 SSB589916:SSJ589916 SSB655440:SSJ655440 SSB655452:SSJ655452 SSB720976:SSJ720976 SSB720988:SSJ720988 SSB786512:SSJ786512 SSB786524:SSJ786524 SSB852048:SSJ852048 SSB852060:SSJ852060 SSB917584:SSJ917584 SSB917596:SSJ917596 SSB983120:SSJ983120 SSB983132:SSJ983132 SSE73:SSJ73 SSE114:SSJ114 SSE116:SSJ116 SSE65609:SSJ65609 SSE65650:SSJ65650 SSE65652:SSJ65652 SSE131145:SSJ131145 SSE131186:SSJ131186 SSE131188:SSJ131188 SSE196681:SSJ196681 SSE196722:SSJ196722 SSE196724:SSJ196724 SSE262217:SSJ262217 SSE262258:SSJ262258 SSE262260:SSJ262260 SSE327753:SSJ327753 SSE327794:SSJ327794 SSE327796:SSJ327796 SSE393289:SSJ393289 SSE393330:SSJ393330 SSE393332:SSJ393332 SSE458825:SSJ458825 SSE458866:SSJ458866 SSE458868:SSJ458868 SSE524361:SSJ524361 SSE524402:SSJ524402 SSE524404:SSJ524404 SSE589897:SSJ589897 SSE589938:SSJ589938 SSE589940:SSJ589940 SSE655433:SSJ655433 SSE655474:SSJ655474 SSE655476:SSJ655476 SSE720969:SSJ720969 SSE721010:SSJ721010 SSE721012:SSJ721012 SSE786505:SSJ786505 SSE786546:SSJ786546 SSE786548:SSJ786548 SSE852041:SSJ852041 SSE852082:SSJ852082 SSE852084:SSJ852084 SSE917577:SSJ917577 SSE917618:SSJ917618 SSE917620:SSJ917620 SSE983113:SSJ983113 SSE983154:SSJ983154 SSE983156:SSJ983156 TBX80:TCF80 TBX92:TCF92 TBX65616:TCF65616 TBX65628:TCF65628 TBX131152:TCF131152 TBX131164:TCF131164 TBX196688:TCF196688 TBX196700:TCF196700 TBX262224:TCF262224 TBX262236:TCF262236 TBX327760:TCF327760 TBX327772:TCF327772 TBX393296:TCF393296 TBX393308:TCF393308 TBX458832:TCF458832 TBX458844:TCF458844 TBX524368:TCF524368 TBX524380:TCF524380 TBX589904:TCF589904 TBX589916:TCF589916 TBX655440:TCF655440 TBX655452:TCF655452 TBX720976:TCF720976 TBX720988:TCF720988 TBX786512:TCF786512 TBX786524:TCF786524 TBX852048:TCF852048 TBX852060:TCF852060 TBX917584:TCF917584 TBX917596:TCF917596 TBX983120:TCF983120 TBX983132:TCF983132 TCA73:TCF73 TCA114:TCF114 TCA116:TCF116 TCA65609:TCF65609 TCA65650:TCF65650 TCA65652:TCF65652 TCA131145:TCF131145 TCA131186:TCF131186 TCA131188:TCF131188 TCA196681:TCF196681 TCA196722:TCF196722 TCA196724:TCF196724 TCA262217:TCF262217 TCA262258:TCF262258 TCA262260:TCF262260 TCA327753:TCF327753 TCA327794:TCF327794 TCA327796:TCF327796 TCA393289:TCF393289 TCA393330:TCF393330 TCA393332:TCF393332 TCA458825:TCF458825 TCA458866:TCF458866 TCA458868:TCF458868 TCA524361:TCF524361 TCA524402:TCF524402 TCA524404:TCF524404 TCA589897:TCF589897 TCA589938:TCF589938 TCA589940:TCF589940 TCA655433:TCF655433 TCA655474:TCF655474 TCA655476:TCF655476 TCA720969:TCF720969 TCA721010:TCF721010 TCA721012:TCF721012 TCA786505:TCF786505 TCA786546:TCF786546 TCA786548:TCF786548 TCA852041:TCF852041 TCA852082:TCF852082 TCA852084:TCF852084 TCA917577:TCF917577 TCA917618:TCF917618 TCA917620:TCF917620 TCA983113:TCF983113 TCA983154:TCF983154 TCA983156:TCF983156 TLT80:TMB80 TLT92:TMB92 TLT65616:TMB65616 TLT65628:TMB65628 TLT131152:TMB131152 TLT131164:TMB131164 TLT196688:TMB196688 TLT196700:TMB196700 TLT262224:TMB262224 TLT262236:TMB262236 TLT327760:TMB327760 TLT327772:TMB327772 TLT393296:TMB393296 TLT393308:TMB393308 TLT458832:TMB458832 TLT458844:TMB458844 TLT524368:TMB524368 TLT524380:TMB524380 TLT589904:TMB589904 TLT589916:TMB589916 TLT655440:TMB655440 TLT655452:TMB655452 TLT720976:TMB720976 TLT720988:TMB720988 TLT786512:TMB786512 TLT786524:TMB786524 TLT852048:TMB852048 TLT852060:TMB852060 TLT917584:TMB917584 TLT917596:TMB917596 TLT983120:TMB983120 TLT983132:TMB983132 TLW73:TMB73 TLW114:TMB114 TLW116:TMB116 TLW65609:TMB65609 TLW65650:TMB65650 TLW65652:TMB65652 TLW131145:TMB131145 TLW131186:TMB131186 TLW131188:TMB131188 TLW196681:TMB196681 TLW196722:TMB196722 TLW196724:TMB196724 TLW262217:TMB262217 TLW262258:TMB262258 TLW262260:TMB262260 TLW327753:TMB327753 TLW327794:TMB327794 TLW327796:TMB327796 TLW393289:TMB393289 TLW393330:TMB393330 TLW393332:TMB393332 TLW458825:TMB458825 TLW458866:TMB458866 TLW458868:TMB458868 TLW524361:TMB524361 TLW524402:TMB524402 TLW524404:TMB524404 TLW589897:TMB589897 TLW589938:TMB589938 TLW589940:TMB589940 TLW655433:TMB655433 TLW655474:TMB655474 TLW655476:TMB655476 TLW720969:TMB720969 TLW721010:TMB721010 TLW721012:TMB721012 TLW786505:TMB786505 TLW786546:TMB786546 TLW786548:TMB786548 TLW852041:TMB852041 TLW852082:TMB852082 TLW852084:TMB852084 TLW917577:TMB917577 TLW917618:TMB917618 TLW917620:TMB917620 TLW983113:TMB983113 TLW983154:TMB983154 TLW983156:TMB983156 TVP80:TVX80 TVP92:TVX92 TVP65616:TVX65616 TVP65628:TVX65628 TVP131152:TVX131152 TVP131164:TVX131164 TVP196688:TVX196688 TVP196700:TVX196700 TVP262224:TVX262224 TVP262236:TVX262236 TVP327760:TVX327760 TVP327772:TVX327772 TVP393296:TVX393296 TVP393308:TVX393308 TVP458832:TVX458832 TVP458844:TVX458844 TVP524368:TVX524368 TVP524380:TVX524380 TVP589904:TVX589904 TVP589916:TVX589916 TVP655440:TVX655440 TVP655452:TVX655452 TVP720976:TVX720976 TVP720988:TVX720988 TVP786512:TVX786512 TVP786524:TVX786524 TVP852048:TVX852048 TVP852060:TVX852060 TVP917584:TVX917584 TVP917596:TVX917596 TVP983120:TVX983120 TVP983132:TVX983132 TVS73:TVX73 TVS114:TVX114 TVS116:TVX116 TVS65609:TVX65609 TVS65650:TVX65650 TVS65652:TVX65652 TVS131145:TVX131145 TVS131186:TVX131186 TVS131188:TVX131188 TVS196681:TVX196681 TVS196722:TVX196722 TVS196724:TVX196724 TVS262217:TVX262217 TVS262258:TVX262258 TVS262260:TVX262260 TVS327753:TVX327753 TVS327794:TVX327794 TVS327796:TVX327796 TVS393289:TVX393289 TVS393330:TVX393330 TVS393332:TVX393332 TVS458825:TVX458825 TVS458866:TVX458866 TVS458868:TVX458868 TVS524361:TVX524361 TVS524402:TVX524402 TVS524404:TVX524404 TVS589897:TVX589897 TVS589938:TVX589938 TVS589940:TVX589940 TVS655433:TVX655433 TVS655474:TVX655474 TVS655476:TVX655476 TVS720969:TVX720969 TVS721010:TVX721010 TVS721012:TVX721012 TVS786505:TVX786505 TVS786546:TVX786546 TVS786548:TVX786548 TVS852041:TVX852041 TVS852082:TVX852082 TVS852084:TVX852084 TVS917577:TVX917577 TVS917618:TVX917618 TVS917620:TVX917620 TVS983113:TVX983113 TVS983154:TVX983154 TVS983156:TVX983156 UFL80:UFT80 UFL92:UFT92 UFL65616:UFT65616 UFL65628:UFT65628 UFL131152:UFT131152 UFL131164:UFT131164 UFL196688:UFT196688 UFL196700:UFT196700 UFL262224:UFT262224 UFL262236:UFT262236 UFL327760:UFT327760 UFL327772:UFT327772 UFL393296:UFT393296 UFL393308:UFT393308 UFL458832:UFT458832 UFL458844:UFT458844 UFL524368:UFT524368 UFL524380:UFT524380 UFL589904:UFT589904 UFL589916:UFT589916 UFL655440:UFT655440 UFL655452:UFT655452 UFL720976:UFT720976 UFL720988:UFT720988 UFL786512:UFT786512 UFL786524:UFT786524 UFL852048:UFT852048 UFL852060:UFT852060 UFL917584:UFT917584 UFL917596:UFT917596 UFL983120:UFT983120 UFL983132:UFT983132 UFO73:UFT73 UFO114:UFT114 UFO116:UFT116 UFO65609:UFT65609 UFO65650:UFT65650 UFO65652:UFT65652 UFO131145:UFT131145 UFO131186:UFT131186 UFO131188:UFT131188 UFO196681:UFT196681 UFO196722:UFT196722 UFO196724:UFT196724 UFO262217:UFT262217 UFO262258:UFT262258 UFO262260:UFT262260 UFO327753:UFT327753 UFO327794:UFT327794 UFO327796:UFT327796 UFO393289:UFT393289 UFO393330:UFT393330 UFO393332:UFT393332 UFO458825:UFT458825 UFO458866:UFT458866 UFO458868:UFT458868 UFO524361:UFT524361 UFO524402:UFT524402 UFO524404:UFT524404 UFO589897:UFT589897 UFO589938:UFT589938 UFO589940:UFT589940 UFO655433:UFT655433 UFO655474:UFT655474 UFO655476:UFT655476 UFO720969:UFT720969 UFO721010:UFT721010 UFO721012:UFT721012 UFO786505:UFT786505 UFO786546:UFT786546 UFO786548:UFT786548 UFO852041:UFT852041 UFO852082:UFT852082 UFO852084:UFT852084 UFO917577:UFT917577 UFO917618:UFT917618 UFO917620:UFT917620 UFO983113:UFT983113 UFO983154:UFT983154 UFO983156:UFT983156 UPH80:UPP80 UPH92:UPP92 UPH65616:UPP65616 UPH65628:UPP65628 UPH131152:UPP131152 UPH131164:UPP131164 UPH196688:UPP196688 UPH196700:UPP196700 UPH262224:UPP262224 UPH262236:UPP262236 UPH327760:UPP327760 UPH327772:UPP327772 UPH393296:UPP393296 UPH393308:UPP393308 UPH458832:UPP458832 UPH458844:UPP458844 UPH524368:UPP524368 UPH524380:UPP524380 UPH589904:UPP589904 UPH589916:UPP589916 UPH655440:UPP655440 UPH655452:UPP655452 UPH720976:UPP720976 UPH720988:UPP720988 UPH786512:UPP786512 UPH786524:UPP786524 UPH852048:UPP852048 UPH852060:UPP852060 UPH917584:UPP917584 UPH917596:UPP917596 UPH983120:UPP983120 UPH983132:UPP983132 UPK73:UPP73 UPK114:UPP114 UPK116:UPP116 UPK65609:UPP65609 UPK65650:UPP65650 UPK65652:UPP65652 UPK131145:UPP131145 UPK131186:UPP131186 UPK131188:UPP131188 UPK196681:UPP196681 UPK196722:UPP196722 UPK196724:UPP196724 UPK262217:UPP262217 UPK262258:UPP262258 UPK262260:UPP262260 UPK327753:UPP327753 UPK327794:UPP327794 UPK327796:UPP327796 UPK393289:UPP393289 UPK393330:UPP393330 UPK393332:UPP393332 UPK458825:UPP458825 UPK458866:UPP458866 UPK458868:UPP458868 UPK524361:UPP524361 UPK524402:UPP524402 UPK524404:UPP524404 UPK589897:UPP589897 UPK589938:UPP589938 UPK589940:UPP589940 UPK655433:UPP655433 UPK655474:UPP655474 UPK655476:UPP655476 UPK720969:UPP720969 UPK721010:UPP721010 UPK721012:UPP721012 UPK786505:UPP786505 UPK786546:UPP786546 UPK786548:UPP786548 UPK852041:UPP852041 UPK852082:UPP852082 UPK852084:UPP852084 UPK917577:UPP917577 UPK917618:UPP917618 UPK917620:UPP917620 UPK983113:UPP983113 UPK983154:UPP983154 UPK983156:UPP983156 UZD80:UZL80 UZD92:UZL92 UZD65616:UZL65616 UZD65628:UZL65628 UZD131152:UZL131152 UZD131164:UZL131164 UZD196688:UZL196688 UZD196700:UZL196700 UZD262224:UZL262224 UZD262236:UZL262236 UZD327760:UZL327760 UZD327772:UZL327772 UZD393296:UZL393296 UZD393308:UZL393308 UZD458832:UZL458832 UZD458844:UZL458844 UZD524368:UZL524368 UZD524380:UZL524380 UZD589904:UZL589904 UZD589916:UZL589916 UZD655440:UZL655440 UZD655452:UZL655452 UZD720976:UZL720976 UZD720988:UZL720988 UZD786512:UZL786512 UZD786524:UZL786524 UZD852048:UZL852048 UZD852060:UZL852060 UZD917584:UZL917584 UZD917596:UZL917596 UZD983120:UZL983120 UZD983132:UZL983132 UZG73:UZL73 UZG114:UZL114 UZG116:UZL116 UZG65609:UZL65609 UZG65650:UZL65650 UZG65652:UZL65652 UZG131145:UZL131145 UZG131186:UZL131186 UZG131188:UZL131188 UZG196681:UZL196681 UZG196722:UZL196722 UZG196724:UZL196724 UZG262217:UZL262217 UZG262258:UZL262258 UZG262260:UZL262260 UZG327753:UZL327753 UZG327794:UZL327794 UZG327796:UZL327796 UZG393289:UZL393289 UZG393330:UZL393330 UZG393332:UZL393332 UZG458825:UZL458825 UZG458866:UZL458866 UZG458868:UZL458868 UZG524361:UZL524361 UZG524402:UZL524402 UZG524404:UZL524404 UZG589897:UZL589897 UZG589938:UZL589938 UZG589940:UZL589940 UZG655433:UZL655433 UZG655474:UZL655474 UZG655476:UZL655476 UZG720969:UZL720969 UZG721010:UZL721010 UZG721012:UZL721012 UZG786505:UZL786505 UZG786546:UZL786546 UZG786548:UZL786548 UZG852041:UZL852041 UZG852082:UZL852082 UZG852084:UZL852084 UZG917577:UZL917577 UZG917618:UZL917618 UZG917620:UZL917620 UZG983113:UZL983113 UZG983154:UZL983154 UZG983156:UZL983156 VIZ80:VJH80 VIZ92:VJH92 VIZ65616:VJH65616 VIZ65628:VJH65628 VIZ131152:VJH131152 VIZ131164:VJH131164 VIZ196688:VJH196688 VIZ196700:VJH196700 VIZ262224:VJH262224 VIZ262236:VJH262236 VIZ327760:VJH327760 VIZ327772:VJH327772 VIZ393296:VJH393296 VIZ393308:VJH393308 VIZ458832:VJH458832 VIZ458844:VJH458844 VIZ524368:VJH524368 VIZ524380:VJH524380 VIZ589904:VJH589904 VIZ589916:VJH589916 VIZ655440:VJH655440 VIZ655452:VJH655452 VIZ720976:VJH720976 VIZ720988:VJH720988 VIZ786512:VJH786512 VIZ786524:VJH786524 VIZ852048:VJH852048 VIZ852060:VJH852060 VIZ917584:VJH917584 VIZ917596:VJH917596 VIZ983120:VJH983120 VIZ983132:VJH983132 VJC73:VJH73 VJC114:VJH114 VJC116:VJH116 VJC65609:VJH65609 VJC65650:VJH65650 VJC65652:VJH65652 VJC131145:VJH131145 VJC131186:VJH131186 VJC131188:VJH131188 VJC196681:VJH196681 VJC196722:VJH196722 VJC196724:VJH196724 VJC262217:VJH262217 VJC262258:VJH262258 VJC262260:VJH262260 VJC327753:VJH327753 VJC327794:VJH327794 VJC327796:VJH327796 VJC393289:VJH393289 VJC393330:VJH393330 VJC393332:VJH393332 VJC458825:VJH458825 VJC458866:VJH458866 VJC458868:VJH458868 VJC524361:VJH524361 VJC524402:VJH524402 VJC524404:VJH524404 VJC589897:VJH589897 VJC589938:VJH589938 VJC589940:VJH589940 VJC655433:VJH655433 VJC655474:VJH655474 VJC655476:VJH655476 VJC720969:VJH720969 VJC721010:VJH721010 VJC721012:VJH721012 VJC786505:VJH786505 VJC786546:VJH786546 VJC786548:VJH786548 VJC852041:VJH852041 VJC852082:VJH852082 VJC852084:VJH852084 VJC917577:VJH917577 VJC917618:VJH917618 VJC917620:VJH917620 VJC983113:VJH983113 VJC983154:VJH983154 VJC983156:VJH983156 VSV80:VTD80 VSV92:VTD92 VSV65616:VTD65616 VSV65628:VTD65628 VSV131152:VTD131152 VSV131164:VTD131164 VSV196688:VTD196688 VSV196700:VTD196700 VSV262224:VTD262224 VSV262236:VTD262236 VSV327760:VTD327760 VSV327772:VTD327772 VSV393296:VTD393296 VSV393308:VTD393308 VSV458832:VTD458832 VSV458844:VTD458844 VSV524368:VTD524368 VSV524380:VTD524380 VSV589904:VTD589904 VSV589916:VTD589916 VSV655440:VTD655440 VSV655452:VTD655452 VSV720976:VTD720976 VSV720988:VTD720988 VSV786512:VTD786512 VSV786524:VTD786524 VSV852048:VTD852048 VSV852060:VTD852060 VSV917584:VTD917584 VSV917596:VTD917596 VSV983120:VTD983120 VSV983132:VTD983132 VSY73:VTD73 VSY114:VTD114 VSY116:VTD116 VSY65609:VTD65609 VSY65650:VTD65650 VSY65652:VTD65652 VSY131145:VTD131145 VSY131186:VTD131186 VSY131188:VTD131188 VSY196681:VTD196681 VSY196722:VTD196722 VSY196724:VTD196724 VSY262217:VTD262217 VSY262258:VTD262258 VSY262260:VTD262260 VSY327753:VTD327753 VSY327794:VTD327794 VSY327796:VTD327796 VSY393289:VTD393289 VSY393330:VTD393330 VSY393332:VTD393332 VSY458825:VTD458825 VSY458866:VTD458866 VSY458868:VTD458868 VSY524361:VTD524361 VSY524402:VTD524402 VSY524404:VTD524404 VSY589897:VTD589897 VSY589938:VTD589938 VSY589940:VTD589940 VSY655433:VTD655433 VSY655474:VTD655474 VSY655476:VTD655476 VSY720969:VTD720969 VSY721010:VTD721010 VSY721012:VTD721012 VSY786505:VTD786505 VSY786546:VTD786546 VSY786548:VTD786548 VSY852041:VTD852041 VSY852082:VTD852082 VSY852084:VTD852084 VSY917577:VTD917577 VSY917618:VTD917618 VSY917620:VTD917620 VSY983113:VTD983113 VSY983154:VTD983154 VSY983156:VTD983156 WCR80:WCZ80 WCR92:WCZ92 WCR65616:WCZ65616 WCR65628:WCZ65628 WCR131152:WCZ131152 WCR131164:WCZ131164 WCR196688:WCZ196688 WCR196700:WCZ196700 WCR262224:WCZ262224 WCR262236:WCZ262236 WCR327760:WCZ327760 WCR327772:WCZ327772 WCR393296:WCZ393296 WCR393308:WCZ393308 WCR458832:WCZ458832 WCR458844:WCZ458844 WCR524368:WCZ524368 WCR524380:WCZ524380 WCR589904:WCZ589904 WCR589916:WCZ589916 WCR655440:WCZ655440 WCR655452:WCZ655452 WCR720976:WCZ720976 WCR720988:WCZ720988 WCR786512:WCZ786512 WCR786524:WCZ786524 WCR852048:WCZ852048 WCR852060:WCZ852060 WCR917584:WCZ917584 WCR917596:WCZ917596 WCR983120:WCZ983120 WCR983132:WCZ983132 WCU73:WCZ73 WCU114:WCZ114 WCU116:WCZ116 WCU65609:WCZ65609 WCU65650:WCZ65650 WCU65652:WCZ65652 WCU131145:WCZ131145 WCU131186:WCZ131186 WCU131188:WCZ131188 WCU196681:WCZ196681 WCU196722:WCZ196722 WCU196724:WCZ196724 WCU262217:WCZ262217 WCU262258:WCZ262258 WCU262260:WCZ262260 WCU327753:WCZ327753 WCU327794:WCZ327794 WCU327796:WCZ327796 WCU393289:WCZ393289 WCU393330:WCZ393330 WCU393332:WCZ393332 WCU458825:WCZ458825 WCU458866:WCZ458866 WCU458868:WCZ458868 WCU524361:WCZ524361 WCU524402:WCZ524402 WCU524404:WCZ524404 WCU589897:WCZ589897 WCU589938:WCZ589938 WCU589940:WCZ589940 WCU655433:WCZ655433 WCU655474:WCZ655474 WCU655476:WCZ655476 WCU720969:WCZ720969 WCU721010:WCZ721010 WCU721012:WCZ721012 WCU786505:WCZ786505 WCU786546:WCZ786546 WCU786548:WCZ786548 WCU852041:WCZ852041 WCU852082:WCZ852082 WCU852084:WCZ852084 WCU917577:WCZ917577 WCU917618:WCZ917618 WCU917620:WCZ917620 WCU983113:WCZ983113 WCU983154:WCZ983154 WCU983156:WCZ983156 WMN80:WMV80 WMN92:WMV92 WMN65616:WMV65616 WMN65628:WMV65628 WMN131152:WMV131152 WMN131164:WMV131164 WMN196688:WMV196688 WMN196700:WMV196700 WMN262224:WMV262224 WMN262236:WMV262236 WMN327760:WMV327760 WMN327772:WMV327772 WMN393296:WMV393296 WMN393308:WMV393308 WMN458832:WMV458832 WMN458844:WMV458844 WMN524368:WMV524368 WMN524380:WMV524380 WMN589904:WMV589904 WMN589916:WMV589916 WMN655440:WMV655440 WMN655452:WMV655452 WMN720976:WMV720976 WMN720988:WMV720988 WMN786512:WMV786512 WMN786524:WMV786524 WMN852048:WMV852048 WMN852060:WMV852060 WMN917584:WMV917584 WMN917596:WMV917596 WMN983120:WMV983120 WMN983132:WMV983132 WMQ73:WMV73 WMQ114:WMV114 WMQ116:WMV116 WMQ65609:WMV65609 WMQ65650:WMV65650 WMQ65652:WMV65652 WMQ131145:WMV131145 WMQ131186:WMV131186 WMQ131188:WMV131188 WMQ196681:WMV196681 WMQ196722:WMV196722 WMQ196724:WMV196724 WMQ262217:WMV262217 WMQ262258:WMV262258 WMQ262260:WMV262260 WMQ327753:WMV327753 WMQ327794:WMV327794 WMQ327796:WMV327796 WMQ393289:WMV393289 WMQ393330:WMV393330 WMQ393332:WMV393332 WMQ458825:WMV458825 WMQ458866:WMV458866 WMQ458868:WMV458868 WMQ524361:WMV524361 WMQ524402:WMV524402 WMQ524404:WMV524404 WMQ589897:WMV589897 WMQ589938:WMV589938 WMQ589940:WMV589940 WMQ655433:WMV655433 WMQ655474:WMV655474 WMQ655476:WMV655476 WMQ720969:WMV720969 WMQ721010:WMV721010 WMQ721012:WMV721012 WMQ786505:WMV786505 WMQ786546:WMV786546 WMQ786548:WMV786548 WMQ852041:WMV852041 WMQ852082:WMV852082 WMQ852084:WMV852084 WMQ917577:WMV917577 WMQ917618:WMV917618 WMQ917620:WMV917620 WMQ983113:WMV983113 WMQ983154:WMV983154 WMQ983156:WMV983156 WWJ80:WWR80 WWJ92:WWR92 WWJ65616:WWR65616 WWJ65628:WWR65628 WWJ131152:WWR131152 WWJ131164:WWR131164 WWJ196688:WWR196688 WWJ196700:WWR196700 WWJ262224:WWR262224 WWJ262236:WWR262236 WWJ327760:WWR327760 WWJ327772:WWR327772 WWJ393296:WWR393296 WWJ393308:WWR393308 WWJ458832:WWR458832 WWJ458844:WWR458844 WWJ524368:WWR524368 WWJ524380:WWR524380 WWJ589904:WWR589904 WWJ589916:WWR589916 WWJ655440:WWR655440 WWJ655452:WWR655452 WWJ720976:WWR720976 WWJ720988:WWR720988 WWJ786512:WWR786512 WWJ786524:WWR786524 WWJ852048:WWR852048 WWJ852060:WWR852060 WWJ917584:WWR917584 WWJ917596:WWR917596 WWJ983120:WWR983120 WWJ983132:WWR983132 WWM73:WWR73 WWM114:WWR114 WWM116:WWR116 WWM65609:WWR65609 WWM65650:WWR65650 WWM65652:WWR65652 WWM131145:WWR131145 WWM131186:WWR131186 WWM131188:WWR131188 WWM196681:WWR196681 WWM196722:WWR196722 WWM196724:WWR196724 WWM262217:WWR262217 WWM262258:WWR262258 WWM262260:WWR262260 WWM327753:WWR327753 WWM327794:WWR327794 WWM327796:WWR327796 WWM393289:WWR393289 WWM393330:WWR393330 WWM393332:WWR393332 WWM458825:WWR458825 WWM458866:WWR458866 WWM458868:WWR458868 WWM524361:WWR524361 WWM524402:WWR524402 WWM524404:WWR524404 WWM589897:WWR589897 WWM589938:WWR589938 WWM589940:WWR589940 WWM655433:WWR655433 WWM655474:WWR655474 WWM655476:WWR655476 WWM720969:WWR720969 WWM721010:WWR721010 WWM721012:WWR721012 WWM786505:WWR786505 WWM786546:WWR786546 WWM786548:WWR786548 WWM852041:WWR852041 WWM852082:WWR852082 WWM852084:WWR852084 WWM917577:WWR917577 WWM917618:WWR917618 WWM917620:WWR917620 WWM983113:WWR983113 WWM983154:WWR983154 WWM983156:WWR983156" xr:uid="{00000000-0002-0000-1800-000001000000}"/>
  </dataValidations>
  <printOptions horizontalCentered="1"/>
  <pageMargins left="0.23622047244094491" right="0.23622047244094491" top="0.55118110236220474" bottom="0.35433070866141736" header="0.31496062992125984" footer="0.31496062992125984"/>
  <pageSetup paperSize="9" scale="99" fitToWidth="0" orientation="portrait" blackAndWhite="1" horizontalDpi="65533" verticalDpi="300" r:id="rId1"/>
  <rowBreaks count="4" manualBreakCount="4">
    <brk id="123" max="35" man="1"/>
    <brk id="226" max="35" man="1"/>
    <brk id="329" max="35" man="1"/>
    <brk id="429"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2000000}">
          <x14:formula1>
            <xm:f>"□,☑"</xm:f>
          </x14:formula1>
          <xm:sqref>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N65642 JJ65642 TF65642 ADB65642 AMX65642 AWT65642 BGP65642 BQL65642 CAH65642 CKD65642 CTZ65642 DDV65642 DNR65642 DXN65642 EHJ65642 ERF65642 FBB65642 FKX65642 FUT65642 GEP65642 GOL65642 GYH65642 HID65642 HRZ65642 IBV65642 ILR65642 IVN65642 JFJ65642 JPF65642 JZB65642 KIX65642 KST65642 LCP65642 LML65642 LWH65642 MGD65642 MPZ65642 MZV65642 NJR65642 NTN65642 ODJ65642 ONF65642 OXB65642 PGX65642 PQT65642 QAP65642 QKL65642 QUH65642 RED65642 RNZ65642 RXV65642 SHR65642 SRN65642 TBJ65642 TLF65642 TVB65642 UEX65642 UOT65642 UYP65642 VIL65642 VSH65642 WCD65642 WLZ65642 WVV65642 N131178 JJ131178 TF131178 ADB131178 AMX131178 AWT131178 BGP131178 BQL131178 CAH131178 CKD131178 CTZ131178 DDV131178 DNR131178 DXN131178 EHJ131178 ERF131178 FBB131178 FKX131178 FUT131178 GEP131178 GOL131178 GYH131178 HID131178 HRZ131178 IBV131178 ILR131178 IVN131178 JFJ131178 JPF131178 JZB131178 KIX131178 KST131178 LCP131178 LML131178 LWH131178 MGD131178 MPZ131178 MZV131178 NJR131178 NTN131178 ODJ131178 ONF131178 OXB131178 PGX131178 PQT131178 QAP131178 QKL131178 QUH131178 RED131178 RNZ131178 RXV131178 SHR131178 SRN131178 TBJ131178 TLF131178 TVB131178 UEX131178 UOT131178 UYP131178 VIL131178 VSH131178 WCD131178 WLZ131178 WVV131178 N196714 JJ196714 TF196714 ADB196714 AMX196714 AWT196714 BGP196714 BQL196714 CAH196714 CKD196714 CTZ196714 DDV196714 DNR196714 DXN196714 EHJ196714 ERF196714 FBB196714 FKX196714 FUT196714 GEP196714 GOL196714 GYH196714 HID196714 HRZ196714 IBV196714 ILR196714 IVN196714 JFJ196714 JPF196714 JZB196714 KIX196714 KST196714 LCP196714 LML196714 LWH196714 MGD196714 MPZ196714 MZV196714 NJR196714 NTN196714 ODJ196714 ONF196714 OXB196714 PGX196714 PQT196714 QAP196714 QKL196714 QUH196714 RED196714 RNZ196714 RXV196714 SHR196714 SRN196714 TBJ196714 TLF196714 TVB196714 UEX196714 UOT196714 UYP196714 VIL196714 VSH196714 WCD196714 WLZ196714 WVV196714 N262250 JJ262250 TF262250 ADB262250 AMX262250 AWT262250 BGP262250 BQL262250 CAH262250 CKD262250 CTZ262250 DDV262250 DNR262250 DXN262250 EHJ262250 ERF262250 FBB262250 FKX262250 FUT262250 GEP262250 GOL262250 GYH262250 HID262250 HRZ262250 IBV262250 ILR262250 IVN262250 JFJ262250 JPF262250 JZB262250 KIX262250 KST262250 LCP262250 LML262250 LWH262250 MGD262250 MPZ262250 MZV262250 NJR262250 NTN262250 ODJ262250 ONF262250 OXB262250 PGX262250 PQT262250 QAP262250 QKL262250 QUH262250 RED262250 RNZ262250 RXV262250 SHR262250 SRN262250 TBJ262250 TLF262250 TVB262250 UEX262250 UOT262250 UYP262250 VIL262250 VSH262250 WCD262250 WLZ262250 WVV262250 N327786 JJ327786 TF327786 ADB327786 AMX327786 AWT327786 BGP327786 BQL327786 CAH327786 CKD327786 CTZ327786 DDV327786 DNR327786 DXN327786 EHJ327786 ERF327786 FBB327786 FKX327786 FUT327786 GEP327786 GOL327786 GYH327786 HID327786 HRZ327786 IBV327786 ILR327786 IVN327786 JFJ327786 JPF327786 JZB327786 KIX327786 KST327786 LCP327786 LML327786 LWH327786 MGD327786 MPZ327786 MZV327786 NJR327786 NTN327786 ODJ327786 ONF327786 OXB327786 PGX327786 PQT327786 QAP327786 QKL327786 QUH327786 RED327786 RNZ327786 RXV327786 SHR327786 SRN327786 TBJ327786 TLF327786 TVB327786 UEX327786 UOT327786 UYP327786 VIL327786 VSH327786 WCD327786 WLZ327786 WVV327786 N393322 JJ393322 TF393322 ADB393322 AMX393322 AWT393322 BGP393322 BQL393322 CAH393322 CKD393322 CTZ393322 DDV393322 DNR393322 DXN393322 EHJ393322 ERF393322 FBB393322 FKX393322 FUT393322 GEP393322 GOL393322 GYH393322 HID393322 HRZ393322 IBV393322 ILR393322 IVN393322 JFJ393322 JPF393322 JZB393322 KIX393322 KST393322 LCP393322 LML393322 LWH393322 MGD393322 MPZ393322 MZV393322 NJR393322 NTN393322 ODJ393322 ONF393322 OXB393322 PGX393322 PQT393322 QAP393322 QKL393322 QUH393322 RED393322 RNZ393322 RXV393322 SHR393322 SRN393322 TBJ393322 TLF393322 TVB393322 UEX393322 UOT393322 UYP393322 VIL393322 VSH393322 WCD393322 WLZ393322 WVV393322 N458858 JJ458858 TF458858 ADB458858 AMX458858 AWT458858 BGP458858 BQL458858 CAH458858 CKD458858 CTZ458858 DDV458858 DNR458858 DXN458858 EHJ458858 ERF458858 FBB458858 FKX458858 FUT458858 GEP458858 GOL458858 GYH458858 HID458858 HRZ458858 IBV458858 ILR458858 IVN458858 JFJ458858 JPF458858 JZB458858 KIX458858 KST458858 LCP458858 LML458858 LWH458858 MGD458858 MPZ458858 MZV458858 NJR458858 NTN458858 ODJ458858 ONF458858 OXB458858 PGX458858 PQT458858 QAP458858 QKL458858 QUH458858 RED458858 RNZ458858 RXV458858 SHR458858 SRN458858 TBJ458858 TLF458858 TVB458858 UEX458858 UOT458858 UYP458858 VIL458858 VSH458858 WCD458858 WLZ458858 WVV458858 N524394 JJ524394 TF524394 ADB524394 AMX524394 AWT524394 BGP524394 BQL524394 CAH524394 CKD524394 CTZ524394 DDV524394 DNR524394 DXN524394 EHJ524394 ERF524394 FBB524394 FKX524394 FUT524394 GEP524394 GOL524394 GYH524394 HID524394 HRZ524394 IBV524394 ILR524394 IVN524394 JFJ524394 JPF524394 JZB524394 KIX524394 KST524394 LCP524394 LML524394 LWH524394 MGD524394 MPZ524394 MZV524394 NJR524394 NTN524394 ODJ524394 ONF524394 OXB524394 PGX524394 PQT524394 QAP524394 QKL524394 QUH524394 RED524394 RNZ524394 RXV524394 SHR524394 SRN524394 TBJ524394 TLF524394 TVB524394 UEX524394 UOT524394 UYP524394 VIL524394 VSH524394 WCD524394 WLZ524394 WVV524394 N589930 JJ589930 TF589930 ADB589930 AMX589930 AWT589930 BGP589930 BQL589930 CAH589930 CKD589930 CTZ589930 DDV589930 DNR589930 DXN589930 EHJ589930 ERF589930 FBB589930 FKX589930 FUT589930 GEP589930 GOL589930 GYH589930 HID589930 HRZ589930 IBV589930 ILR589930 IVN589930 JFJ589930 JPF589930 JZB589930 KIX589930 KST589930 LCP589930 LML589930 LWH589930 MGD589930 MPZ589930 MZV589930 NJR589930 NTN589930 ODJ589930 ONF589930 OXB589930 PGX589930 PQT589930 QAP589930 QKL589930 QUH589930 RED589930 RNZ589930 RXV589930 SHR589930 SRN589930 TBJ589930 TLF589930 TVB589930 UEX589930 UOT589930 UYP589930 VIL589930 VSH589930 WCD589930 WLZ589930 WVV589930 N655466 JJ655466 TF655466 ADB655466 AMX655466 AWT655466 BGP655466 BQL655466 CAH655466 CKD655466 CTZ655466 DDV655466 DNR655466 DXN655466 EHJ655466 ERF655466 FBB655466 FKX655466 FUT655466 GEP655466 GOL655466 GYH655466 HID655466 HRZ655466 IBV655466 ILR655466 IVN655466 JFJ655466 JPF655466 JZB655466 KIX655466 KST655466 LCP655466 LML655466 LWH655466 MGD655466 MPZ655466 MZV655466 NJR655466 NTN655466 ODJ655466 ONF655466 OXB655466 PGX655466 PQT655466 QAP655466 QKL655466 QUH655466 RED655466 RNZ655466 RXV655466 SHR655466 SRN655466 TBJ655466 TLF655466 TVB655466 UEX655466 UOT655466 UYP655466 VIL655466 VSH655466 WCD655466 WLZ655466 WVV655466 N721002 JJ721002 TF721002 ADB721002 AMX721002 AWT721002 BGP721002 BQL721002 CAH721002 CKD721002 CTZ721002 DDV721002 DNR721002 DXN721002 EHJ721002 ERF721002 FBB721002 FKX721002 FUT721002 GEP721002 GOL721002 GYH721002 HID721002 HRZ721002 IBV721002 ILR721002 IVN721002 JFJ721002 JPF721002 JZB721002 KIX721002 KST721002 LCP721002 LML721002 LWH721002 MGD721002 MPZ721002 MZV721002 NJR721002 NTN721002 ODJ721002 ONF721002 OXB721002 PGX721002 PQT721002 QAP721002 QKL721002 QUH721002 RED721002 RNZ721002 RXV721002 SHR721002 SRN721002 TBJ721002 TLF721002 TVB721002 UEX721002 UOT721002 UYP721002 VIL721002 VSH721002 WCD721002 WLZ721002 WVV721002 N786538 JJ786538 TF786538 ADB786538 AMX786538 AWT786538 BGP786538 BQL786538 CAH786538 CKD786538 CTZ786538 DDV786538 DNR786538 DXN786538 EHJ786538 ERF786538 FBB786538 FKX786538 FUT786538 GEP786538 GOL786538 GYH786538 HID786538 HRZ786538 IBV786538 ILR786538 IVN786538 JFJ786538 JPF786538 JZB786538 KIX786538 KST786538 LCP786538 LML786538 LWH786538 MGD786538 MPZ786538 MZV786538 NJR786538 NTN786538 ODJ786538 ONF786538 OXB786538 PGX786538 PQT786538 QAP786538 QKL786538 QUH786538 RED786538 RNZ786538 RXV786538 SHR786538 SRN786538 TBJ786538 TLF786538 TVB786538 UEX786538 UOT786538 UYP786538 VIL786538 VSH786538 WCD786538 WLZ786538 WVV786538 N852074 JJ852074 TF852074 ADB852074 AMX852074 AWT852074 BGP852074 BQL852074 CAH852074 CKD852074 CTZ852074 DDV852074 DNR852074 DXN852074 EHJ852074 ERF852074 FBB852074 FKX852074 FUT852074 GEP852074 GOL852074 GYH852074 HID852074 HRZ852074 IBV852074 ILR852074 IVN852074 JFJ852074 JPF852074 JZB852074 KIX852074 KST852074 LCP852074 LML852074 LWH852074 MGD852074 MPZ852074 MZV852074 NJR852074 NTN852074 ODJ852074 ONF852074 OXB852074 PGX852074 PQT852074 QAP852074 QKL852074 QUH852074 RED852074 RNZ852074 RXV852074 SHR852074 SRN852074 TBJ852074 TLF852074 TVB852074 UEX852074 UOT852074 UYP852074 VIL852074 VSH852074 WCD852074 WLZ852074 WVV852074 N917610 JJ917610 TF917610 ADB917610 AMX917610 AWT917610 BGP917610 BQL917610 CAH917610 CKD917610 CTZ917610 DDV917610 DNR917610 DXN917610 EHJ917610 ERF917610 FBB917610 FKX917610 FUT917610 GEP917610 GOL917610 GYH917610 HID917610 HRZ917610 IBV917610 ILR917610 IVN917610 JFJ917610 JPF917610 JZB917610 KIX917610 KST917610 LCP917610 LML917610 LWH917610 MGD917610 MPZ917610 MZV917610 NJR917610 NTN917610 ODJ917610 ONF917610 OXB917610 PGX917610 PQT917610 QAP917610 QKL917610 QUH917610 RED917610 RNZ917610 RXV917610 SHR917610 SRN917610 TBJ917610 TLF917610 TVB917610 UEX917610 UOT917610 UYP917610 VIL917610 VSH917610 WCD917610 WLZ917610 WVV917610 N983146 JJ983146 TF983146 ADB983146 AMX983146 AWT983146 BGP983146 BQL983146 CAH983146 CKD983146 CTZ983146 DDV983146 DNR983146 DXN983146 EHJ983146 ERF983146 FBB983146 FKX983146 FUT983146 GEP983146 GOL983146 GYH983146 HID983146 HRZ983146 IBV983146 ILR983146 IVN983146 JFJ983146 JPF983146 JZB983146 KIX983146 KST983146 LCP983146 LML983146 LWH983146 MGD983146 MPZ983146 MZV983146 NJR983146 NTN983146 ODJ983146 ONF983146 OXB983146 PGX983146 PQT983146 QAP983146 QKL983146 QUH983146 RED983146 RNZ983146 RXV983146 SHR983146 SRN983146 TBJ983146 TLF983146 TVB983146 UEX983146 UOT983146 UYP983146 VIL983146 VSH983146 WCD983146 WLZ983146 WVV983146 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N65644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N131180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N196716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N262252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N327788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N393324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N458860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N524396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N589932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N655468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N721004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N786540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N852076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N917612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N983148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 N112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N65648 JJ65648 TF65648 ADB65648 AMX65648 AWT65648 BGP65648 BQL65648 CAH65648 CKD65648 CTZ65648 DDV65648 DNR65648 DXN65648 EHJ65648 ERF65648 FBB65648 FKX65648 FUT65648 GEP65648 GOL65648 GYH65648 HID65648 HRZ65648 IBV65648 ILR65648 IVN65648 JFJ65648 JPF65648 JZB65648 KIX65648 KST65648 LCP65648 LML65648 LWH65648 MGD65648 MPZ65648 MZV65648 NJR65648 NTN65648 ODJ65648 ONF65648 OXB65648 PGX65648 PQT65648 QAP65648 QKL65648 QUH65648 RED65648 RNZ65648 RXV65648 SHR65648 SRN65648 TBJ65648 TLF65648 TVB65648 UEX65648 UOT65648 UYP65648 VIL65648 VSH65648 WCD65648 WLZ65648 WVV65648 N131184 JJ131184 TF131184 ADB131184 AMX131184 AWT131184 BGP131184 BQL131184 CAH131184 CKD131184 CTZ131184 DDV131184 DNR131184 DXN131184 EHJ131184 ERF131184 FBB131184 FKX131184 FUT131184 GEP131184 GOL131184 GYH131184 HID131184 HRZ131184 IBV131184 ILR131184 IVN131184 JFJ131184 JPF131184 JZB131184 KIX131184 KST131184 LCP131184 LML131184 LWH131184 MGD131184 MPZ131184 MZV131184 NJR131184 NTN131184 ODJ131184 ONF131184 OXB131184 PGX131184 PQT131184 QAP131184 QKL131184 QUH131184 RED131184 RNZ131184 RXV131184 SHR131184 SRN131184 TBJ131184 TLF131184 TVB131184 UEX131184 UOT131184 UYP131184 VIL131184 VSH131184 WCD131184 WLZ131184 WVV131184 N196720 JJ196720 TF196720 ADB196720 AMX196720 AWT196720 BGP196720 BQL196720 CAH196720 CKD196720 CTZ196720 DDV196720 DNR196720 DXN196720 EHJ196720 ERF196720 FBB196720 FKX196720 FUT196720 GEP196720 GOL196720 GYH196720 HID196720 HRZ196720 IBV196720 ILR196720 IVN196720 JFJ196720 JPF196720 JZB196720 KIX196720 KST196720 LCP196720 LML196720 LWH196720 MGD196720 MPZ196720 MZV196720 NJR196720 NTN196720 ODJ196720 ONF196720 OXB196720 PGX196720 PQT196720 QAP196720 QKL196720 QUH196720 RED196720 RNZ196720 RXV196720 SHR196720 SRN196720 TBJ196720 TLF196720 TVB196720 UEX196720 UOT196720 UYP196720 VIL196720 VSH196720 WCD196720 WLZ196720 WVV196720 N262256 JJ262256 TF262256 ADB262256 AMX262256 AWT262256 BGP262256 BQL262256 CAH262256 CKD262256 CTZ262256 DDV262256 DNR262256 DXN262256 EHJ262256 ERF262256 FBB262256 FKX262256 FUT262256 GEP262256 GOL262256 GYH262256 HID262256 HRZ262256 IBV262256 ILR262256 IVN262256 JFJ262256 JPF262256 JZB262256 KIX262256 KST262256 LCP262256 LML262256 LWH262256 MGD262256 MPZ262256 MZV262256 NJR262256 NTN262256 ODJ262256 ONF262256 OXB262256 PGX262256 PQT262256 QAP262256 QKL262256 QUH262256 RED262256 RNZ262256 RXV262256 SHR262256 SRN262256 TBJ262256 TLF262256 TVB262256 UEX262256 UOT262256 UYP262256 VIL262256 VSH262256 WCD262256 WLZ262256 WVV262256 N327792 JJ327792 TF327792 ADB327792 AMX327792 AWT327792 BGP327792 BQL327792 CAH327792 CKD327792 CTZ327792 DDV327792 DNR327792 DXN327792 EHJ327792 ERF327792 FBB327792 FKX327792 FUT327792 GEP327792 GOL327792 GYH327792 HID327792 HRZ327792 IBV327792 ILR327792 IVN327792 JFJ327792 JPF327792 JZB327792 KIX327792 KST327792 LCP327792 LML327792 LWH327792 MGD327792 MPZ327792 MZV327792 NJR327792 NTN327792 ODJ327792 ONF327792 OXB327792 PGX327792 PQT327792 QAP327792 QKL327792 QUH327792 RED327792 RNZ327792 RXV327792 SHR327792 SRN327792 TBJ327792 TLF327792 TVB327792 UEX327792 UOT327792 UYP327792 VIL327792 VSH327792 WCD327792 WLZ327792 WVV327792 N393328 JJ393328 TF393328 ADB393328 AMX393328 AWT393328 BGP393328 BQL393328 CAH393328 CKD393328 CTZ393328 DDV393328 DNR393328 DXN393328 EHJ393328 ERF393328 FBB393328 FKX393328 FUT393328 GEP393328 GOL393328 GYH393328 HID393328 HRZ393328 IBV393328 ILR393328 IVN393328 JFJ393328 JPF393328 JZB393328 KIX393328 KST393328 LCP393328 LML393328 LWH393328 MGD393328 MPZ393328 MZV393328 NJR393328 NTN393328 ODJ393328 ONF393328 OXB393328 PGX393328 PQT393328 QAP393328 QKL393328 QUH393328 RED393328 RNZ393328 RXV393328 SHR393328 SRN393328 TBJ393328 TLF393328 TVB393328 UEX393328 UOT393328 UYP393328 VIL393328 VSH393328 WCD393328 WLZ393328 WVV393328 N458864 JJ458864 TF458864 ADB458864 AMX458864 AWT458864 BGP458864 BQL458864 CAH458864 CKD458864 CTZ458864 DDV458864 DNR458864 DXN458864 EHJ458864 ERF458864 FBB458864 FKX458864 FUT458864 GEP458864 GOL458864 GYH458864 HID458864 HRZ458864 IBV458864 ILR458864 IVN458864 JFJ458864 JPF458864 JZB458864 KIX458864 KST458864 LCP458864 LML458864 LWH458864 MGD458864 MPZ458864 MZV458864 NJR458864 NTN458864 ODJ458864 ONF458864 OXB458864 PGX458864 PQT458864 QAP458864 QKL458864 QUH458864 RED458864 RNZ458864 RXV458864 SHR458864 SRN458864 TBJ458864 TLF458864 TVB458864 UEX458864 UOT458864 UYP458864 VIL458864 VSH458864 WCD458864 WLZ458864 WVV458864 N524400 JJ524400 TF524400 ADB524400 AMX524400 AWT524400 BGP524400 BQL524400 CAH524400 CKD524400 CTZ524400 DDV524400 DNR524400 DXN524400 EHJ524400 ERF524400 FBB524400 FKX524400 FUT524400 GEP524400 GOL524400 GYH524400 HID524400 HRZ524400 IBV524400 ILR524400 IVN524400 JFJ524400 JPF524400 JZB524400 KIX524400 KST524400 LCP524400 LML524400 LWH524400 MGD524400 MPZ524400 MZV524400 NJR524400 NTN524400 ODJ524400 ONF524400 OXB524400 PGX524400 PQT524400 QAP524400 QKL524400 QUH524400 RED524400 RNZ524400 RXV524400 SHR524400 SRN524400 TBJ524400 TLF524400 TVB524400 UEX524400 UOT524400 UYP524400 VIL524400 VSH524400 WCD524400 WLZ524400 WVV524400 N589936 JJ589936 TF589936 ADB589936 AMX589936 AWT589936 BGP589936 BQL589936 CAH589936 CKD589936 CTZ589936 DDV589936 DNR589936 DXN589936 EHJ589936 ERF589936 FBB589936 FKX589936 FUT589936 GEP589936 GOL589936 GYH589936 HID589936 HRZ589936 IBV589936 ILR589936 IVN589936 JFJ589936 JPF589936 JZB589936 KIX589936 KST589936 LCP589936 LML589936 LWH589936 MGD589936 MPZ589936 MZV589936 NJR589936 NTN589936 ODJ589936 ONF589936 OXB589936 PGX589936 PQT589936 QAP589936 QKL589936 QUH589936 RED589936 RNZ589936 RXV589936 SHR589936 SRN589936 TBJ589936 TLF589936 TVB589936 UEX589936 UOT589936 UYP589936 VIL589936 VSH589936 WCD589936 WLZ589936 WVV589936 N655472 JJ655472 TF655472 ADB655472 AMX655472 AWT655472 BGP655472 BQL655472 CAH655472 CKD655472 CTZ655472 DDV655472 DNR655472 DXN655472 EHJ655472 ERF655472 FBB655472 FKX655472 FUT655472 GEP655472 GOL655472 GYH655472 HID655472 HRZ655472 IBV655472 ILR655472 IVN655472 JFJ655472 JPF655472 JZB655472 KIX655472 KST655472 LCP655472 LML655472 LWH655472 MGD655472 MPZ655472 MZV655472 NJR655472 NTN655472 ODJ655472 ONF655472 OXB655472 PGX655472 PQT655472 QAP655472 QKL655472 QUH655472 RED655472 RNZ655472 RXV655472 SHR655472 SRN655472 TBJ655472 TLF655472 TVB655472 UEX655472 UOT655472 UYP655472 VIL655472 VSH655472 WCD655472 WLZ655472 WVV655472 N721008 JJ721008 TF721008 ADB721008 AMX721008 AWT721008 BGP721008 BQL721008 CAH721008 CKD721008 CTZ721008 DDV721008 DNR721008 DXN721008 EHJ721008 ERF721008 FBB721008 FKX721008 FUT721008 GEP721008 GOL721008 GYH721008 HID721008 HRZ721008 IBV721008 ILR721008 IVN721008 JFJ721008 JPF721008 JZB721008 KIX721008 KST721008 LCP721008 LML721008 LWH721008 MGD721008 MPZ721008 MZV721008 NJR721008 NTN721008 ODJ721008 ONF721008 OXB721008 PGX721008 PQT721008 QAP721008 QKL721008 QUH721008 RED721008 RNZ721008 RXV721008 SHR721008 SRN721008 TBJ721008 TLF721008 TVB721008 UEX721008 UOT721008 UYP721008 VIL721008 VSH721008 WCD721008 WLZ721008 WVV721008 N786544 JJ786544 TF786544 ADB786544 AMX786544 AWT786544 BGP786544 BQL786544 CAH786544 CKD786544 CTZ786544 DDV786544 DNR786544 DXN786544 EHJ786544 ERF786544 FBB786544 FKX786544 FUT786544 GEP786544 GOL786544 GYH786544 HID786544 HRZ786544 IBV786544 ILR786544 IVN786544 JFJ786544 JPF786544 JZB786544 KIX786544 KST786544 LCP786544 LML786544 LWH786544 MGD786544 MPZ786544 MZV786544 NJR786544 NTN786544 ODJ786544 ONF786544 OXB786544 PGX786544 PQT786544 QAP786544 QKL786544 QUH786544 RED786544 RNZ786544 RXV786544 SHR786544 SRN786544 TBJ786544 TLF786544 TVB786544 UEX786544 UOT786544 UYP786544 VIL786544 VSH786544 WCD786544 WLZ786544 WVV786544 N852080 JJ852080 TF852080 ADB852080 AMX852080 AWT852080 BGP852080 BQL852080 CAH852080 CKD852080 CTZ852080 DDV852080 DNR852080 DXN852080 EHJ852080 ERF852080 FBB852080 FKX852080 FUT852080 GEP852080 GOL852080 GYH852080 HID852080 HRZ852080 IBV852080 ILR852080 IVN852080 JFJ852080 JPF852080 JZB852080 KIX852080 KST852080 LCP852080 LML852080 LWH852080 MGD852080 MPZ852080 MZV852080 NJR852080 NTN852080 ODJ852080 ONF852080 OXB852080 PGX852080 PQT852080 QAP852080 QKL852080 QUH852080 RED852080 RNZ852080 RXV852080 SHR852080 SRN852080 TBJ852080 TLF852080 TVB852080 UEX852080 UOT852080 UYP852080 VIL852080 VSH852080 WCD852080 WLZ852080 WVV852080 N917616 JJ917616 TF917616 ADB917616 AMX917616 AWT917616 BGP917616 BQL917616 CAH917616 CKD917616 CTZ917616 DDV917616 DNR917616 DXN917616 EHJ917616 ERF917616 FBB917616 FKX917616 FUT917616 GEP917616 GOL917616 GYH917616 HID917616 HRZ917616 IBV917616 ILR917616 IVN917616 JFJ917616 JPF917616 JZB917616 KIX917616 KST917616 LCP917616 LML917616 LWH917616 MGD917616 MPZ917616 MZV917616 NJR917616 NTN917616 ODJ917616 ONF917616 OXB917616 PGX917616 PQT917616 QAP917616 QKL917616 QUH917616 RED917616 RNZ917616 RXV917616 SHR917616 SRN917616 TBJ917616 TLF917616 TVB917616 UEX917616 UOT917616 UYP917616 VIL917616 VSH917616 WCD917616 WLZ917616 WVV917616 N983152 JJ983152 TF983152 ADB983152 AMX983152 AWT983152 BGP983152 BQL983152 CAH983152 CKD983152 CTZ983152 DDV983152 DNR983152 DXN983152 EHJ983152 ERF983152 FBB983152 FKX983152 FUT983152 GEP983152 GOL983152 GYH983152 HID983152 HRZ983152 IBV983152 ILR983152 IVN983152 JFJ983152 JPF983152 JZB983152 KIX983152 KST983152 LCP983152 LML983152 LWH983152 MGD983152 MPZ983152 MZV983152 NJR983152 NTN983152 ODJ983152 ONF983152 OXB983152 PGX983152 PQT983152 QAP983152 QKL983152 QUH983152 RED983152 RNZ983152 RXV983152 SHR983152 SRN983152 TBJ983152 TLF983152 TVB983152 UEX983152 UOT983152 UYP983152 VIL983152 VSH983152 WCD983152 WLZ983152 WVV983152 N110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N65646 JJ65646 TF65646 ADB65646 AMX65646 AWT65646 BGP65646 BQL65646 CAH65646 CKD65646 CTZ65646 DDV65646 DNR65646 DXN65646 EHJ65646 ERF65646 FBB65646 FKX65646 FUT65646 GEP65646 GOL65646 GYH65646 HID65646 HRZ65646 IBV65646 ILR65646 IVN65646 JFJ65646 JPF65646 JZB65646 KIX65646 KST65646 LCP65646 LML65646 LWH65646 MGD65646 MPZ65646 MZV65646 NJR65646 NTN65646 ODJ65646 ONF65646 OXB65646 PGX65646 PQT65646 QAP65646 QKL65646 QUH65646 RED65646 RNZ65646 RXV65646 SHR65646 SRN65646 TBJ65646 TLF65646 TVB65646 UEX65646 UOT65646 UYP65646 VIL65646 VSH65646 WCD65646 WLZ65646 WVV65646 N131182 JJ131182 TF131182 ADB131182 AMX131182 AWT131182 BGP131182 BQL131182 CAH131182 CKD131182 CTZ131182 DDV131182 DNR131182 DXN131182 EHJ131182 ERF131182 FBB131182 FKX131182 FUT131182 GEP131182 GOL131182 GYH131182 HID131182 HRZ131182 IBV131182 ILR131182 IVN131182 JFJ131182 JPF131182 JZB131182 KIX131182 KST131182 LCP131182 LML131182 LWH131182 MGD131182 MPZ131182 MZV131182 NJR131182 NTN131182 ODJ131182 ONF131182 OXB131182 PGX131182 PQT131182 QAP131182 QKL131182 QUH131182 RED131182 RNZ131182 RXV131182 SHR131182 SRN131182 TBJ131182 TLF131182 TVB131182 UEX131182 UOT131182 UYP131182 VIL131182 VSH131182 WCD131182 WLZ131182 WVV131182 N196718 JJ196718 TF196718 ADB196718 AMX196718 AWT196718 BGP196718 BQL196718 CAH196718 CKD196718 CTZ196718 DDV196718 DNR196718 DXN196718 EHJ196718 ERF196718 FBB196718 FKX196718 FUT196718 GEP196718 GOL196718 GYH196718 HID196718 HRZ196718 IBV196718 ILR196718 IVN196718 JFJ196718 JPF196718 JZB196718 KIX196718 KST196718 LCP196718 LML196718 LWH196718 MGD196718 MPZ196718 MZV196718 NJR196718 NTN196718 ODJ196718 ONF196718 OXB196718 PGX196718 PQT196718 QAP196718 QKL196718 QUH196718 RED196718 RNZ196718 RXV196718 SHR196718 SRN196718 TBJ196718 TLF196718 TVB196718 UEX196718 UOT196718 UYP196718 VIL196718 VSH196718 WCD196718 WLZ196718 WVV196718 N262254 JJ262254 TF262254 ADB262254 AMX262254 AWT262254 BGP262254 BQL262254 CAH262254 CKD262254 CTZ262254 DDV262254 DNR262254 DXN262254 EHJ262254 ERF262254 FBB262254 FKX262254 FUT262254 GEP262254 GOL262254 GYH262254 HID262254 HRZ262254 IBV262254 ILR262254 IVN262254 JFJ262254 JPF262254 JZB262254 KIX262254 KST262254 LCP262254 LML262254 LWH262254 MGD262254 MPZ262254 MZV262254 NJR262254 NTN262254 ODJ262254 ONF262254 OXB262254 PGX262254 PQT262254 QAP262254 QKL262254 QUH262254 RED262254 RNZ262254 RXV262254 SHR262254 SRN262254 TBJ262254 TLF262254 TVB262254 UEX262254 UOT262254 UYP262254 VIL262254 VSH262254 WCD262254 WLZ262254 WVV262254 N327790 JJ327790 TF327790 ADB327790 AMX327790 AWT327790 BGP327790 BQL327790 CAH327790 CKD327790 CTZ327790 DDV327790 DNR327790 DXN327790 EHJ327790 ERF327790 FBB327790 FKX327790 FUT327790 GEP327790 GOL327790 GYH327790 HID327790 HRZ327790 IBV327790 ILR327790 IVN327790 JFJ327790 JPF327790 JZB327790 KIX327790 KST327790 LCP327790 LML327790 LWH327790 MGD327790 MPZ327790 MZV327790 NJR327790 NTN327790 ODJ327790 ONF327790 OXB327790 PGX327790 PQT327790 QAP327790 QKL327790 QUH327790 RED327790 RNZ327790 RXV327790 SHR327790 SRN327790 TBJ327790 TLF327790 TVB327790 UEX327790 UOT327790 UYP327790 VIL327790 VSH327790 WCD327790 WLZ327790 WVV327790 N393326 JJ393326 TF393326 ADB393326 AMX393326 AWT393326 BGP393326 BQL393326 CAH393326 CKD393326 CTZ393326 DDV393326 DNR393326 DXN393326 EHJ393326 ERF393326 FBB393326 FKX393326 FUT393326 GEP393326 GOL393326 GYH393326 HID393326 HRZ393326 IBV393326 ILR393326 IVN393326 JFJ393326 JPF393326 JZB393326 KIX393326 KST393326 LCP393326 LML393326 LWH393326 MGD393326 MPZ393326 MZV393326 NJR393326 NTN393326 ODJ393326 ONF393326 OXB393326 PGX393326 PQT393326 QAP393326 QKL393326 QUH393326 RED393326 RNZ393326 RXV393326 SHR393326 SRN393326 TBJ393326 TLF393326 TVB393326 UEX393326 UOT393326 UYP393326 VIL393326 VSH393326 WCD393326 WLZ393326 WVV393326 N458862 JJ458862 TF458862 ADB458862 AMX458862 AWT458862 BGP458862 BQL458862 CAH458862 CKD458862 CTZ458862 DDV458862 DNR458862 DXN458862 EHJ458862 ERF458862 FBB458862 FKX458862 FUT458862 GEP458862 GOL458862 GYH458862 HID458862 HRZ458862 IBV458862 ILR458862 IVN458862 JFJ458862 JPF458862 JZB458862 KIX458862 KST458862 LCP458862 LML458862 LWH458862 MGD458862 MPZ458862 MZV458862 NJR458862 NTN458862 ODJ458862 ONF458862 OXB458862 PGX458862 PQT458862 QAP458862 QKL458862 QUH458862 RED458862 RNZ458862 RXV458862 SHR458862 SRN458862 TBJ458862 TLF458862 TVB458862 UEX458862 UOT458862 UYP458862 VIL458862 VSH458862 WCD458862 WLZ458862 WVV458862 N524398 JJ524398 TF524398 ADB524398 AMX524398 AWT524398 BGP524398 BQL524398 CAH524398 CKD524398 CTZ524398 DDV524398 DNR524398 DXN524398 EHJ524398 ERF524398 FBB524398 FKX524398 FUT524398 GEP524398 GOL524398 GYH524398 HID524398 HRZ524398 IBV524398 ILR524398 IVN524398 JFJ524398 JPF524398 JZB524398 KIX524398 KST524398 LCP524398 LML524398 LWH524398 MGD524398 MPZ524398 MZV524398 NJR524398 NTN524398 ODJ524398 ONF524398 OXB524398 PGX524398 PQT524398 QAP524398 QKL524398 QUH524398 RED524398 RNZ524398 RXV524398 SHR524398 SRN524398 TBJ524398 TLF524398 TVB524398 UEX524398 UOT524398 UYP524398 VIL524398 VSH524398 WCD524398 WLZ524398 WVV524398 N589934 JJ589934 TF589934 ADB589934 AMX589934 AWT589934 BGP589934 BQL589934 CAH589934 CKD589934 CTZ589934 DDV589934 DNR589934 DXN589934 EHJ589934 ERF589934 FBB589934 FKX589934 FUT589934 GEP589934 GOL589934 GYH589934 HID589934 HRZ589934 IBV589934 ILR589934 IVN589934 JFJ589934 JPF589934 JZB589934 KIX589934 KST589934 LCP589934 LML589934 LWH589934 MGD589934 MPZ589934 MZV589934 NJR589934 NTN589934 ODJ589934 ONF589934 OXB589934 PGX589934 PQT589934 QAP589934 QKL589934 QUH589934 RED589934 RNZ589934 RXV589934 SHR589934 SRN589934 TBJ589934 TLF589934 TVB589934 UEX589934 UOT589934 UYP589934 VIL589934 VSH589934 WCD589934 WLZ589934 WVV589934 N655470 JJ655470 TF655470 ADB655470 AMX655470 AWT655470 BGP655470 BQL655470 CAH655470 CKD655470 CTZ655470 DDV655470 DNR655470 DXN655470 EHJ655470 ERF655470 FBB655470 FKX655470 FUT655470 GEP655470 GOL655470 GYH655470 HID655470 HRZ655470 IBV655470 ILR655470 IVN655470 JFJ655470 JPF655470 JZB655470 KIX655470 KST655470 LCP655470 LML655470 LWH655470 MGD655470 MPZ655470 MZV655470 NJR655470 NTN655470 ODJ655470 ONF655470 OXB655470 PGX655470 PQT655470 QAP655470 QKL655470 QUH655470 RED655470 RNZ655470 RXV655470 SHR655470 SRN655470 TBJ655470 TLF655470 TVB655470 UEX655470 UOT655470 UYP655470 VIL655470 VSH655470 WCD655470 WLZ655470 WVV655470 N721006 JJ721006 TF721006 ADB721006 AMX721006 AWT721006 BGP721006 BQL721006 CAH721006 CKD721006 CTZ721006 DDV721006 DNR721006 DXN721006 EHJ721006 ERF721006 FBB721006 FKX721006 FUT721006 GEP721006 GOL721006 GYH721006 HID721006 HRZ721006 IBV721006 ILR721006 IVN721006 JFJ721006 JPF721006 JZB721006 KIX721006 KST721006 LCP721006 LML721006 LWH721006 MGD721006 MPZ721006 MZV721006 NJR721006 NTN721006 ODJ721006 ONF721006 OXB721006 PGX721006 PQT721006 QAP721006 QKL721006 QUH721006 RED721006 RNZ721006 RXV721006 SHR721006 SRN721006 TBJ721006 TLF721006 TVB721006 UEX721006 UOT721006 UYP721006 VIL721006 VSH721006 WCD721006 WLZ721006 WVV721006 N786542 JJ786542 TF786542 ADB786542 AMX786542 AWT786542 BGP786542 BQL786542 CAH786542 CKD786542 CTZ786542 DDV786542 DNR786542 DXN786542 EHJ786542 ERF786542 FBB786542 FKX786542 FUT786542 GEP786542 GOL786542 GYH786542 HID786542 HRZ786542 IBV786542 ILR786542 IVN786542 JFJ786542 JPF786542 JZB786542 KIX786542 KST786542 LCP786542 LML786542 LWH786542 MGD786542 MPZ786542 MZV786542 NJR786542 NTN786542 ODJ786542 ONF786542 OXB786542 PGX786542 PQT786542 QAP786542 QKL786542 QUH786542 RED786542 RNZ786542 RXV786542 SHR786542 SRN786542 TBJ786542 TLF786542 TVB786542 UEX786542 UOT786542 UYP786542 VIL786542 VSH786542 WCD786542 WLZ786542 WVV786542 N852078 JJ852078 TF852078 ADB852078 AMX852078 AWT852078 BGP852078 BQL852078 CAH852078 CKD852078 CTZ852078 DDV852078 DNR852078 DXN852078 EHJ852078 ERF852078 FBB852078 FKX852078 FUT852078 GEP852078 GOL852078 GYH852078 HID852078 HRZ852078 IBV852078 ILR852078 IVN852078 JFJ852078 JPF852078 JZB852078 KIX852078 KST852078 LCP852078 LML852078 LWH852078 MGD852078 MPZ852078 MZV852078 NJR852078 NTN852078 ODJ852078 ONF852078 OXB852078 PGX852078 PQT852078 QAP852078 QKL852078 QUH852078 RED852078 RNZ852078 RXV852078 SHR852078 SRN852078 TBJ852078 TLF852078 TVB852078 UEX852078 UOT852078 UYP852078 VIL852078 VSH852078 WCD852078 WLZ852078 WVV852078 N917614 JJ917614 TF917614 ADB917614 AMX917614 AWT917614 BGP917614 BQL917614 CAH917614 CKD917614 CTZ917614 DDV917614 DNR917614 DXN917614 EHJ917614 ERF917614 FBB917614 FKX917614 FUT917614 GEP917614 GOL917614 GYH917614 HID917614 HRZ917614 IBV917614 ILR917614 IVN917614 JFJ917614 JPF917614 JZB917614 KIX917614 KST917614 LCP917614 LML917614 LWH917614 MGD917614 MPZ917614 MZV917614 NJR917614 NTN917614 ODJ917614 ONF917614 OXB917614 PGX917614 PQT917614 QAP917614 QKL917614 QUH917614 RED917614 RNZ917614 RXV917614 SHR917614 SRN917614 TBJ917614 TLF917614 TVB917614 UEX917614 UOT917614 UYP917614 VIL917614 VSH917614 WCD917614 WLZ917614 WVV917614 N983150 JJ983150 TF983150 ADB983150 AMX983150 AWT983150 BGP983150 BQL983150 CAH983150 CKD983150 CTZ983150 DDV983150 DNR983150 DXN983150 EHJ983150 ERF983150 FBB983150 FKX983150 FUT983150 GEP983150 GOL983150 GYH983150 HID983150 HRZ983150 IBV983150 ILR983150 IVN983150 JFJ983150 JPF983150 JZB983150 KIX983150 KST983150 LCP983150 LML983150 LWH983150 MGD983150 MPZ983150 MZV983150 NJR983150 NTN983150 ODJ983150 ONF983150 OXB983150 PGX983150 PQT983150 QAP983150 QKL983150 QUH983150 RED983150 RNZ983150 RXV983150 SHR983150 SRN983150 TBJ983150 TLF983150 TVB983150 UEX983150 UOT983150 UYP983150 VIL983150 VSH983150 WCD983150 WLZ983150 WVV983150 N90:N91 JJ90:JJ91 TF90:TF91 ADB90:ADB91 AMX90:AMX91 AWT90:AWT91 BGP90:BGP91 BQL90:BQL91 CAH90:CAH91 CKD90:CKD91 CTZ90:CTZ91 DDV90:DDV91 DNR90:DNR91 DXN90:DXN91 EHJ90:EHJ91 ERF90:ERF91 FBB90:FBB91 FKX90:FKX91 FUT90:FUT91 GEP90:GEP91 GOL90:GOL91 GYH90:GYH91 HID90:HID91 HRZ90:HRZ91 IBV90:IBV91 ILR90:ILR91 IVN90:IVN91 JFJ90:JFJ91 JPF90:JPF91 JZB90:JZB91 KIX90:KIX91 KST90:KST91 LCP90:LCP91 LML90:LML91 LWH90:LWH91 MGD90:MGD91 MPZ90:MPZ91 MZV90:MZV91 NJR90:NJR91 NTN90:NTN91 ODJ90:ODJ91 ONF90:ONF91 OXB90:OXB91 PGX90:PGX91 PQT90:PQT91 QAP90:QAP91 QKL90:QKL91 QUH90:QUH91 RED90:RED91 RNZ90:RNZ91 RXV90:RXV91 SHR90:SHR91 SRN90:SRN91 TBJ90:TBJ91 TLF90:TLF91 TVB90:TVB91 UEX90:UEX91 UOT90:UOT91 UYP90:UYP91 VIL90:VIL91 VSH90:VSH91 WCD90:WCD91 WLZ90:WLZ91 WVV90:WVV91 N65626:N65627 JJ65626:JJ65627 TF65626:TF65627 ADB65626:ADB65627 AMX65626:AMX65627 AWT65626:AWT65627 BGP65626:BGP65627 BQL65626:BQL65627 CAH65626:CAH65627 CKD65626:CKD65627 CTZ65626:CTZ65627 DDV65626:DDV65627 DNR65626:DNR65627 DXN65626:DXN65627 EHJ65626:EHJ65627 ERF65626:ERF65627 FBB65626:FBB65627 FKX65626:FKX65627 FUT65626:FUT65627 GEP65626:GEP65627 GOL65626:GOL65627 GYH65626:GYH65627 HID65626:HID65627 HRZ65626:HRZ65627 IBV65626:IBV65627 ILR65626:ILR65627 IVN65626:IVN65627 JFJ65626:JFJ65627 JPF65626:JPF65627 JZB65626:JZB65627 KIX65626:KIX65627 KST65626:KST65627 LCP65626:LCP65627 LML65626:LML65627 LWH65626:LWH65627 MGD65626:MGD65627 MPZ65626:MPZ65627 MZV65626:MZV65627 NJR65626:NJR65627 NTN65626:NTN65627 ODJ65626:ODJ65627 ONF65626:ONF65627 OXB65626:OXB65627 PGX65626:PGX65627 PQT65626:PQT65627 QAP65626:QAP65627 QKL65626:QKL65627 QUH65626:QUH65627 RED65626:RED65627 RNZ65626:RNZ65627 RXV65626:RXV65627 SHR65626:SHR65627 SRN65626:SRN65627 TBJ65626:TBJ65627 TLF65626:TLF65627 TVB65626:TVB65627 UEX65626:UEX65627 UOT65626:UOT65627 UYP65626:UYP65627 VIL65626:VIL65627 VSH65626:VSH65627 WCD65626:WCD65627 WLZ65626:WLZ65627 WVV65626:WVV65627 N131162:N131163 JJ131162:JJ131163 TF131162:TF131163 ADB131162:ADB131163 AMX131162:AMX131163 AWT131162:AWT131163 BGP131162:BGP131163 BQL131162:BQL131163 CAH131162:CAH131163 CKD131162:CKD131163 CTZ131162:CTZ131163 DDV131162:DDV131163 DNR131162:DNR131163 DXN131162:DXN131163 EHJ131162:EHJ131163 ERF131162:ERF131163 FBB131162:FBB131163 FKX131162:FKX131163 FUT131162:FUT131163 GEP131162:GEP131163 GOL131162:GOL131163 GYH131162:GYH131163 HID131162:HID131163 HRZ131162:HRZ131163 IBV131162:IBV131163 ILR131162:ILR131163 IVN131162:IVN131163 JFJ131162:JFJ131163 JPF131162:JPF131163 JZB131162:JZB131163 KIX131162:KIX131163 KST131162:KST131163 LCP131162:LCP131163 LML131162:LML131163 LWH131162:LWH131163 MGD131162:MGD131163 MPZ131162:MPZ131163 MZV131162:MZV131163 NJR131162:NJR131163 NTN131162:NTN131163 ODJ131162:ODJ131163 ONF131162:ONF131163 OXB131162:OXB131163 PGX131162:PGX131163 PQT131162:PQT131163 QAP131162:QAP131163 QKL131162:QKL131163 QUH131162:QUH131163 RED131162:RED131163 RNZ131162:RNZ131163 RXV131162:RXV131163 SHR131162:SHR131163 SRN131162:SRN131163 TBJ131162:TBJ131163 TLF131162:TLF131163 TVB131162:TVB131163 UEX131162:UEX131163 UOT131162:UOT131163 UYP131162:UYP131163 VIL131162:VIL131163 VSH131162:VSH131163 WCD131162:WCD131163 WLZ131162:WLZ131163 WVV131162:WVV131163 N196698:N196699 JJ196698:JJ196699 TF196698:TF196699 ADB196698:ADB196699 AMX196698:AMX196699 AWT196698:AWT196699 BGP196698:BGP196699 BQL196698:BQL196699 CAH196698:CAH196699 CKD196698:CKD196699 CTZ196698:CTZ196699 DDV196698:DDV196699 DNR196698:DNR196699 DXN196698:DXN196699 EHJ196698:EHJ196699 ERF196698:ERF196699 FBB196698:FBB196699 FKX196698:FKX196699 FUT196698:FUT196699 GEP196698:GEP196699 GOL196698:GOL196699 GYH196698:GYH196699 HID196698:HID196699 HRZ196698:HRZ196699 IBV196698:IBV196699 ILR196698:ILR196699 IVN196698:IVN196699 JFJ196698:JFJ196699 JPF196698:JPF196699 JZB196698:JZB196699 KIX196698:KIX196699 KST196698:KST196699 LCP196698:LCP196699 LML196698:LML196699 LWH196698:LWH196699 MGD196698:MGD196699 MPZ196698:MPZ196699 MZV196698:MZV196699 NJR196698:NJR196699 NTN196698:NTN196699 ODJ196698:ODJ196699 ONF196698:ONF196699 OXB196698:OXB196699 PGX196698:PGX196699 PQT196698:PQT196699 QAP196698:QAP196699 QKL196698:QKL196699 QUH196698:QUH196699 RED196698:RED196699 RNZ196698:RNZ196699 RXV196698:RXV196699 SHR196698:SHR196699 SRN196698:SRN196699 TBJ196698:TBJ196699 TLF196698:TLF196699 TVB196698:TVB196699 UEX196698:UEX196699 UOT196698:UOT196699 UYP196698:UYP196699 VIL196698:VIL196699 VSH196698:VSH196699 WCD196698:WCD196699 WLZ196698:WLZ196699 WVV196698:WVV196699 N262234:N262235 JJ262234:JJ262235 TF262234:TF262235 ADB262234:ADB262235 AMX262234:AMX262235 AWT262234:AWT262235 BGP262234:BGP262235 BQL262234:BQL262235 CAH262234:CAH262235 CKD262234:CKD262235 CTZ262234:CTZ262235 DDV262234:DDV262235 DNR262234:DNR262235 DXN262234:DXN262235 EHJ262234:EHJ262235 ERF262234:ERF262235 FBB262234:FBB262235 FKX262234:FKX262235 FUT262234:FUT262235 GEP262234:GEP262235 GOL262234:GOL262235 GYH262234:GYH262235 HID262234:HID262235 HRZ262234:HRZ262235 IBV262234:IBV262235 ILR262234:ILR262235 IVN262234:IVN262235 JFJ262234:JFJ262235 JPF262234:JPF262235 JZB262234:JZB262235 KIX262234:KIX262235 KST262234:KST262235 LCP262234:LCP262235 LML262234:LML262235 LWH262234:LWH262235 MGD262234:MGD262235 MPZ262234:MPZ262235 MZV262234:MZV262235 NJR262234:NJR262235 NTN262234:NTN262235 ODJ262234:ODJ262235 ONF262234:ONF262235 OXB262234:OXB262235 PGX262234:PGX262235 PQT262234:PQT262235 QAP262234:QAP262235 QKL262234:QKL262235 QUH262234:QUH262235 RED262234:RED262235 RNZ262234:RNZ262235 RXV262234:RXV262235 SHR262234:SHR262235 SRN262234:SRN262235 TBJ262234:TBJ262235 TLF262234:TLF262235 TVB262234:TVB262235 UEX262234:UEX262235 UOT262234:UOT262235 UYP262234:UYP262235 VIL262234:VIL262235 VSH262234:VSH262235 WCD262234:WCD262235 WLZ262234:WLZ262235 WVV262234:WVV262235 N327770:N327771 JJ327770:JJ327771 TF327770:TF327771 ADB327770:ADB327771 AMX327770:AMX327771 AWT327770:AWT327771 BGP327770:BGP327771 BQL327770:BQL327771 CAH327770:CAH327771 CKD327770:CKD327771 CTZ327770:CTZ327771 DDV327770:DDV327771 DNR327770:DNR327771 DXN327770:DXN327771 EHJ327770:EHJ327771 ERF327770:ERF327771 FBB327770:FBB327771 FKX327770:FKX327771 FUT327770:FUT327771 GEP327770:GEP327771 GOL327770:GOL327771 GYH327770:GYH327771 HID327770:HID327771 HRZ327770:HRZ327771 IBV327770:IBV327771 ILR327770:ILR327771 IVN327770:IVN327771 JFJ327770:JFJ327771 JPF327770:JPF327771 JZB327770:JZB327771 KIX327770:KIX327771 KST327770:KST327771 LCP327770:LCP327771 LML327770:LML327771 LWH327770:LWH327771 MGD327770:MGD327771 MPZ327770:MPZ327771 MZV327770:MZV327771 NJR327770:NJR327771 NTN327770:NTN327771 ODJ327770:ODJ327771 ONF327770:ONF327771 OXB327770:OXB327771 PGX327770:PGX327771 PQT327770:PQT327771 QAP327770:QAP327771 QKL327770:QKL327771 QUH327770:QUH327771 RED327770:RED327771 RNZ327770:RNZ327771 RXV327770:RXV327771 SHR327770:SHR327771 SRN327770:SRN327771 TBJ327770:TBJ327771 TLF327770:TLF327771 TVB327770:TVB327771 UEX327770:UEX327771 UOT327770:UOT327771 UYP327770:UYP327771 VIL327770:VIL327771 VSH327770:VSH327771 WCD327770:WCD327771 WLZ327770:WLZ327771 WVV327770:WVV327771 N393306:N393307 JJ393306:JJ393307 TF393306:TF393307 ADB393306:ADB393307 AMX393306:AMX393307 AWT393306:AWT393307 BGP393306:BGP393307 BQL393306:BQL393307 CAH393306:CAH393307 CKD393306:CKD393307 CTZ393306:CTZ393307 DDV393306:DDV393307 DNR393306:DNR393307 DXN393306:DXN393307 EHJ393306:EHJ393307 ERF393306:ERF393307 FBB393306:FBB393307 FKX393306:FKX393307 FUT393306:FUT393307 GEP393306:GEP393307 GOL393306:GOL393307 GYH393306:GYH393307 HID393306:HID393307 HRZ393306:HRZ393307 IBV393306:IBV393307 ILR393306:ILR393307 IVN393306:IVN393307 JFJ393306:JFJ393307 JPF393306:JPF393307 JZB393306:JZB393307 KIX393306:KIX393307 KST393306:KST393307 LCP393306:LCP393307 LML393306:LML393307 LWH393306:LWH393307 MGD393306:MGD393307 MPZ393306:MPZ393307 MZV393306:MZV393307 NJR393306:NJR393307 NTN393306:NTN393307 ODJ393306:ODJ393307 ONF393306:ONF393307 OXB393306:OXB393307 PGX393306:PGX393307 PQT393306:PQT393307 QAP393306:QAP393307 QKL393306:QKL393307 QUH393306:QUH393307 RED393306:RED393307 RNZ393306:RNZ393307 RXV393306:RXV393307 SHR393306:SHR393307 SRN393306:SRN393307 TBJ393306:TBJ393307 TLF393306:TLF393307 TVB393306:TVB393307 UEX393306:UEX393307 UOT393306:UOT393307 UYP393306:UYP393307 VIL393306:VIL393307 VSH393306:VSH393307 WCD393306:WCD393307 WLZ393306:WLZ393307 WVV393306:WVV393307 N458842:N458843 JJ458842:JJ458843 TF458842:TF458843 ADB458842:ADB458843 AMX458842:AMX458843 AWT458842:AWT458843 BGP458842:BGP458843 BQL458842:BQL458843 CAH458842:CAH458843 CKD458842:CKD458843 CTZ458842:CTZ458843 DDV458842:DDV458843 DNR458842:DNR458843 DXN458842:DXN458843 EHJ458842:EHJ458843 ERF458842:ERF458843 FBB458842:FBB458843 FKX458842:FKX458843 FUT458842:FUT458843 GEP458842:GEP458843 GOL458842:GOL458843 GYH458842:GYH458843 HID458842:HID458843 HRZ458842:HRZ458843 IBV458842:IBV458843 ILR458842:ILR458843 IVN458842:IVN458843 JFJ458842:JFJ458843 JPF458842:JPF458843 JZB458842:JZB458843 KIX458842:KIX458843 KST458842:KST458843 LCP458842:LCP458843 LML458842:LML458843 LWH458842:LWH458843 MGD458842:MGD458843 MPZ458842:MPZ458843 MZV458842:MZV458843 NJR458842:NJR458843 NTN458842:NTN458843 ODJ458842:ODJ458843 ONF458842:ONF458843 OXB458842:OXB458843 PGX458842:PGX458843 PQT458842:PQT458843 QAP458842:QAP458843 QKL458842:QKL458843 QUH458842:QUH458843 RED458842:RED458843 RNZ458842:RNZ458843 RXV458842:RXV458843 SHR458842:SHR458843 SRN458842:SRN458843 TBJ458842:TBJ458843 TLF458842:TLF458843 TVB458842:TVB458843 UEX458842:UEX458843 UOT458842:UOT458843 UYP458842:UYP458843 VIL458842:VIL458843 VSH458842:VSH458843 WCD458842:WCD458843 WLZ458842:WLZ458843 WVV458842:WVV458843 N524378:N524379 JJ524378:JJ524379 TF524378:TF524379 ADB524378:ADB524379 AMX524378:AMX524379 AWT524378:AWT524379 BGP524378:BGP524379 BQL524378:BQL524379 CAH524378:CAH524379 CKD524378:CKD524379 CTZ524378:CTZ524379 DDV524378:DDV524379 DNR524378:DNR524379 DXN524378:DXN524379 EHJ524378:EHJ524379 ERF524378:ERF524379 FBB524378:FBB524379 FKX524378:FKX524379 FUT524378:FUT524379 GEP524378:GEP524379 GOL524378:GOL524379 GYH524378:GYH524379 HID524378:HID524379 HRZ524378:HRZ524379 IBV524378:IBV524379 ILR524378:ILR524379 IVN524378:IVN524379 JFJ524378:JFJ524379 JPF524378:JPF524379 JZB524378:JZB524379 KIX524378:KIX524379 KST524378:KST524379 LCP524378:LCP524379 LML524378:LML524379 LWH524378:LWH524379 MGD524378:MGD524379 MPZ524378:MPZ524379 MZV524378:MZV524379 NJR524378:NJR524379 NTN524378:NTN524379 ODJ524378:ODJ524379 ONF524378:ONF524379 OXB524378:OXB524379 PGX524378:PGX524379 PQT524378:PQT524379 QAP524378:QAP524379 QKL524378:QKL524379 QUH524378:QUH524379 RED524378:RED524379 RNZ524378:RNZ524379 RXV524378:RXV524379 SHR524378:SHR524379 SRN524378:SRN524379 TBJ524378:TBJ524379 TLF524378:TLF524379 TVB524378:TVB524379 UEX524378:UEX524379 UOT524378:UOT524379 UYP524378:UYP524379 VIL524378:VIL524379 VSH524378:VSH524379 WCD524378:WCD524379 WLZ524378:WLZ524379 WVV524378:WVV524379 N589914:N589915 JJ589914:JJ589915 TF589914:TF589915 ADB589914:ADB589915 AMX589914:AMX589915 AWT589914:AWT589915 BGP589914:BGP589915 BQL589914:BQL589915 CAH589914:CAH589915 CKD589914:CKD589915 CTZ589914:CTZ589915 DDV589914:DDV589915 DNR589914:DNR589915 DXN589914:DXN589915 EHJ589914:EHJ589915 ERF589914:ERF589915 FBB589914:FBB589915 FKX589914:FKX589915 FUT589914:FUT589915 GEP589914:GEP589915 GOL589914:GOL589915 GYH589914:GYH589915 HID589914:HID589915 HRZ589914:HRZ589915 IBV589914:IBV589915 ILR589914:ILR589915 IVN589914:IVN589915 JFJ589914:JFJ589915 JPF589914:JPF589915 JZB589914:JZB589915 KIX589914:KIX589915 KST589914:KST589915 LCP589914:LCP589915 LML589914:LML589915 LWH589914:LWH589915 MGD589914:MGD589915 MPZ589914:MPZ589915 MZV589914:MZV589915 NJR589914:NJR589915 NTN589914:NTN589915 ODJ589914:ODJ589915 ONF589914:ONF589915 OXB589914:OXB589915 PGX589914:PGX589915 PQT589914:PQT589915 QAP589914:QAP589915 QKL589914:QKL589915 QUH589914:QUH589915 RED589914:RED589915 RNZ589914:RNZ589915 RXV589914:RXV589915 SHR589914:SHR589915 SRN589914:SRN589915 TBJ589914:TBJ589915 TLF589914:TLF589915 TVB589914:TVB589915 UEX589914:UEX589915 UOT589914:UOT589915 UYP589914:UYP589915 VIL589914:VIL589915 VSH589914:VSH589915 WCD589914:WCD589915 WLZ589914:WLZ589915 WVV589914:WVV589915 N655450:N655451 JJ655450:JJ655451 TF655450:TF655451 ADB655450:ADB655451 AMX655450:AMX655451 AWT655450:AWT655451 BGP655450:BGP655451 BQL655450:BQL655451 CAH655450:CAH655451 CKD655450:CKD655451 CTZ655450:CTZ655451 DDV655450:DDV655451 DNR655450:DNR655451 DXN655450:DXN655451 EHJ655450:EHJ655451 ERF655450:ERF655451 FBB655450:FBB655451 FKX655450:FKX655451 FUT655450:FUT655451 GEP655450:GEP655451 GOL655450:GOL655451 GYH655450:GYH655451 HID655450:HID655451 HRZ655450:HRZ655451 IBV655450:IBV655451 ILR655450:ILR655451 IVN655450:IVN655451 JFJ655450:JFJ655451 JPF655450:JPF655451 JZB655450:JZB655451 KIX655450:KIX655451 KST655450:KST655451 LCP655450:LCP655451 LML655450:LML655451 LWH655450:LWH655451 MGD655450:MGD655451 MPZ655450:MPZ655451 MZV655450:MZV655451 NJR655450:NJR655451 NTN655450:NTN655451 ODJ655450:ODJ655451 ONF655450:ONF655451 OXB655450:OXB655451 PGX655450:PGX655451 PQT655450:PQT655451 QAP655450:QAP655451 QKL655450:QKL655451 QUH655450:QUH655451 RED655450:RED655451 RNZ655450:RNZ655451 RXV655450:RXV655451 SHR655450:SHR655451 SRN655450:SRN655451 TBJ655450:TBJ655451 TLF655450:TLF655451 TVB655450:TVB655451 UEX655450:UEX655451 UOT655450:UOT655451 UYP655450:UYP655451 VIL655450:VIL655451 VSH655450:VSH655451 WCD655450:WCD655451 WLZ655450:WLZ655451 WVV655450:WVV655451 N720986:N720987 JJ720986:JJ720987 TF720986:TF720987 ADB720986:ADB720987 AMX720986:AMX720987 AWT720986:AWT720987 BGP720986:BGP720987 BQL720986:BQL720987 CAH720986:CAH720987 CKD720986:CKD720987 CTZ720986:CTZ720987 DDV720986:DDV720987 DNR720986:DNR720987 DXN720986:DXN720987 EHJ720986:EHJ720987 ERF720986:ERF720987 FBB720986:FBB720987 FKX720986:FKX720987 FUT720986:FUT720987 GEP720986:GEP720987 GOL720986:GOL720987 GYH720986:GYH720987 HID720986:HID720987 HRZ720986:HRZ720987 IBV720986:IBV720987 ILR720986:ILR720987 IVN720986:IVN720987 JFJ720986:JFJ720987 JPF720986:JPF720987 JZB720986:JZB720987 KIX720986:KIX720987 KST720986:KST720987 LCP720986:LCP720987 LML720986:LML720987 LWH720986:LWH720987 MGD720986:MGD720987 MPZ720986:MPZ720987 MZV720986:MZV720987 NJR720986:NJR720987 NTN720986:NTN720987 ODJ720986:ODJ720987 ONF720986:ONF720987 OXB720986:OXB720987 PGX720986:PGX720987 PQT720986:PQT720987 QAP720986:QAP720987 QKL720986:QKL720987 QUH720986:QUH720987 RED720986:RED720987 RNZ720986:RNZ720987 RXV720986:RXV720987 SHR720986:SHR720987 SRN720986:SRN720987 TBJ720986:TBJ720987 TLF720986:TLF720987 TVB720986:TVB720987 UEX720986:UEX720987 UOT720986:UOT720987 UYP720986:UYP720987 VIL720986:VIL720987 VSH720986:VSH720987 WCD720986:WCD720987 WLZ720986:WLZ720987 WVV720986:WVV720987 N786522:N786523 JJ786522:JJ786523 TF786522:TF786523 ADB786522:ADB786523 AMX786522:AMX786523 AWT786522:AWT786523 BGP786522:BGP786523 BQL786522:BQL786523 CAH786522:CAH786523 CKD786522:CKD786523 CTZ786522:CTZ786523 DDV786522:DDV786523 DNR786522:DNR786523 DXN786522:DXN786523 EHJ786522:EHJ786523 ERF786522:ERF786523 FBB786522:FBB786523 FKX786522:FKX786523 FUT786522:FUT786523 GEP786522:GEP786523 GOL786522:GOL786523 GYH786522:GYH786523 HID786522:HID786523 HRZ786522:HRZ786523 IBV786522:IBV786523 ILR786522:ILR786523 IVN786522:IVN786523 JFJ786522:JFJ786523 JPF786522:JPF786523 JZB786522:JZB786523 KIX786522:KIX786523 KST786522:KST786523 LCP786522:LCP786523 LML786522:LML786523 LWH786522:LWH786523 MGD786522:MGD786523 MPZ786522:MPZ786523 MZV786522:MZV786523 NJR786522:NJR786523 NTN786522:NTN786523 ODJ786522:ODJ786523 ONF786522:ONF786523 OXB786522:OXB786523 PGX786522:PGX786523 PQT786522:PQT786523 QAP786522:QAP786523 QKL786522:QKL786523 QUH786522:QUH786523 RED786522:RED786523 RNZ786522:RNZ786523 RXV786522:RXV786523 SHR786522:SHR786523 SRN786522:SRN786523 TBJ786522:TBJ786523 TLF786522:TLF786523 TVB786522:TVB786523 UEX786522:UEX786523 UOT786522:UOT786523 UYP786522:UYP786523 VIL786522:VIL786523 VSH786522:VSH786523 WCD786522:WCD786523 WLZ786522:WLZ786523 WVV786522:WVV786523 N852058:N852059 JJ852058:JJ852059 TF852058:TF852059 ADB852058:ADB852059 AMX852058:AMX852059 AWT852058:AWT852059 BGP852058:BGP852059 BQL852058:BQL852059 CAH852058:CAH852059 CKD852058:CKD852059 CTZ852058:CTZ852059 DDV852058:DDV852059 DNR852058:DNR852059 DXN852058:DXN852059 EHJ852058:EHJ852059 ERF852058:ERF852059 FBB852058:FBB852059 FKX852058:FKX852059 FUT852058:FUT852059 GEP852058:GEP852059 GOL852058:GOL852059 GYH852058:GYH852059 HID852058:HID852059 HRZ852058:HRZ852059 IBV852058:IBV852059 ILR852058:ILR852059 IVN852058:IVN852059 JFJ852058:JFJ852059 JPF852058:JPF852059 JZB852058:JZB852059 KIX852058:KIX852059 KST852058:KST852059 LCP852058:LCP852059 LML852058:LML852059 LWH852058:LWH852059 MGD852058:MGD852059 MPZ852058:MPZ852059 MZV852058:MZV852059 NJR852058:NJR852059 NTN852058:NTN852059 ODJ852058:ODJ852059 ONF852058:ONF852059 OXB852058:OXB852059 PGX852058:PGX852059 PQT852058:PQT852059 QAP852058:QAP852059 QKL852058:QKL852059 QUH852058:QUH852059 RED852058:RED852059 RNZ852058:RNZ852059 RXV852058:RXV852059 SHR852058:SHR852059 SRN852058:SRN852059 TBJ852058:TBJ852059 TLF852058:TLF852059 TVB852058:TVB852059 UEX852058:UEX852059 UOT852058:UOT852059 UYP852058:UYP852059 VIL852058:VIL852059 VSH852058:VSH852059 WCD852058:WCD852059 WLZ852058:WLZ852059 WVV852058:WVV852059 N917594:N917595 JJ917594:JJ917595 TF917594:TF917595 ADB917594:ADB917595 AMX917594:AMX917595 AWT917594:AWT917595 BGP917594:BGP917595 BQL917594:BQL917595 CAH917594:CAH917595 CKD917594:CKD917595 CTZ917594:CTZ917595 DDV917594:DDV917595 DNR917594:DNR917595 DXN917594:DXN917595 EHJ917594:EHJ917595 ERF917594:ERF917595 FBB917594:FBB917595 FKX917594:FKX917595 FUT917594:FUT917595 GEP917594:GEP917595 GOL917594:GOL917595 GYH917594:GYH917595 HID917594:HID917595 HRZ917594:HRZ917595 IBV917594:IBV917595 ILR917594:ILR917595 IVN917594:IVN917595 JFJ917594:JFJ917595 JPF917594:JPF917595 JZB917594:JZB917595 KIX917594:KIX917595 KST917594:KST917595 LCP917594:LCP917595 LML917594:LML917595 LWH917594:LWH917595 MGD917594:MGD917595 MPZ917594:MPZ917595 MZV917594:MZV917595 NJR917594:NJR917595 NTN917594:NTN917595 ODJ917594:ODJ917595 ONF917594:ONF917595 OXB917594:OXB917595 PGX917594:PGX917595 PQT917594:PQT917595 QAP917594:QAP917595 QKL917594:QKL917595 QUH917594:QUH917595 RED917594:RED917595 RNZ917594:RNZ917595 RXV917594:RXV917595 SHR917594:SHR917595 SRN917594:SRN917595 TBJ917594:TBJ917595 TLF917594:TLF917595 TVB917594:TVB917595 UEX917594:UEX917595 UOT917594:UOT917595 UYP917594:UYP917595 VIL917594:VIL917595 VSH917594:VSH917595 WCD917594:WCD917595 WLZ917594:WLZ917595 WVV917594:WVV917595 N983130:N983131 JJ983130:JJ983131 TF983130:TF983131 ADB983130:ADB983131 AMX983130:AMX983131 AWT983130:AWT983131 BGP983130:BGP983131 BQL983130:BQL983131 CAH983130:CAH983131 CKD983130:CKD983131 CTZ983130:CTZ983131 DDV983130:DDV983131 DNR983130:DNR983131 DXN983130:DXN983131 EHJ983130:EHJ983131 ERF983130:ERF983131 FBB983130:FBB983131 FKX983130:FKX983131 FUT983130:FUT983131 GEP983130:GEP983131 GOL983130:GOL983131 GYH983130:GYH983131 HID983130:HID983131 HRZ983130:HRZ983131 IBV983130:IBV983131 ILR983130:ILR983131 IVN983130:IVN983131 JFJ983130:JFJ983131 JPF983130:JPF983131 JZB983130:JZB983131 KIX983130:KIX983131 KST983130:KST983131 LCP983130:LCP983131 LML983130:LML983131 LWH983130:LWH983131 MGD983130:MGD983131 MPZ983130:MPZ983131 MZV983130:MZV983131 NJR983130:NJR983131 NTN983130:NTN983131 ODJ983130:ODJ983131 ONF983130:ONF983131 OXB983130:OXB983131 PGX983130:PGX983131 PQT983130:PQT983131 QAP983130:QAP983131 QKL983130:QKL983131 QUH983130:QUH983131 RED983130:RED983131 RNZ983130:RNZ983131 RXV983130:RXV983131 SHR983130:SHR983131 SRN983130:SRN983131 TBJ983130:TBJ983131 TLF983130:TLF983131 TVB983130:TVB983131 UEX983130:UEX983131 UOT983130:UOT983131 UYP983130:UYP983131 VIL983130:VIL983131 VSH983130:VSH983131 WCD983130:WCD983131 WLZ983130:WLZ983131 WVV983130:WVV983131 AD106 JZ106 TV106 ADR106 ANN106 AXJ106 BHF106 BRB106 CAX106 CKT106 CUP106 DEL106 DOH106 DYD106 EHZ106 ERV106 FBR106 FLN106 FVJ106 GFF106 GPB106 GYX106 HIT106 HSP106 ICL106 IMH106 IWD106 JFZ106 JPV106 JZR106 KJN106 KTJ106 LDF106 LNB106 LWX106 MGT106 MQP106 NAL106 NKH106 NUD106 ODZ106 ONV106 OXR106 PHN106 PRJ106 QBF106 QLB106 QUX106 RET106 ROP106 RYL106 SIH106 SSD106 TBZ106 TLV106 TVR106 UFN106 UPJ106 UZF106 VJB106 VSX106 WCT106 WMP106 WWL106 AD65642 JZ65642 TV65642 ADR65642 ANN65642 AXJ65642 BHF65642 BRB65642 CAX65642 CKT65642 CUP65642 DEL65642 DOH65642 DYD65642 EHZ65642 ERV65642 FBR65642 FLN65642 FVJ65642 GFF65642 GPB65642 GYX65642 HIT65642 HSP65642 ICL65642 IMH65642 IWD65642 JFZ65642 JPV65642 JZR65642 KJN65642 KTJ65642 LDF65642 LNB65642 LWX65642 MGT65642 MQP65642 NAL65642 NKH65642 NUD65642 ODZ65642 ONV65642 OXR65642 PHN65642 PRJ65642 QBF65642 QLB65642 QUX65642 RET65642 ROP65642 RYL65642 SIH65642 SSD65642 TBZ65642 TLV65642 TVR65642 UFN65642 UPJ65642 UZF65642 VJB65642 VSX65642 WCT65642 WMP65642 WWL65642 AD131178 JZ131178 TV131178 ADR131178 ANN131178 AXJ131178 BHF131178 BRB131178 CAX131178 CKT131178 CUP131178 DEL131178 DOH131178 DYD131178 EHZ131178 ERV131178 FBR131178 FLN131178 FVJ131178 GFF131178 GPB131178 GYX131178 HIT131178 HSP131178 ICL131178 IMH131178 IWD131178 JFZ131178 JPV131178 JZR131178 KJN131178 KTJ131178 LDF131178 LNB131178 LWX131178 MGT131178 MQP131178 NAL131178 NKH131178 NUD131178 ODZ131178 ONV131178 OXR131178 PHN131178 PRJ131178 QBF131178 QLB131178 QUX131178 RET131178 ROP131178 RYL131178 SIH131178 SSD131178 TBZ131178 TLV131178 TVR131178 UFN131178 UPJ131178 UZF131178 VJB131178 VSX131178 WCT131178 WMP131178 WWL131178 AD196714 JZ196714 TV196714 ADR196714 ANN196714 AXJ196714 BHF196714 BRB196714 CAX196714 CKT196714 CUP196714 DEL196714 DOH196714 DYD196714 EHZ196714 ERV196714 FBR196714 FLN196714 FVJ196714 GFF196714 GPB196714 GYX196714 HIT196714 HSP196714 ICL196714 IMH196714 IWD196714 JFZ196714 JPV196714 JZR196714 KJN196714 KTJ196714 LDF196714 LNB196714 LWX196714 MGT196714 MQP196714 NAL196714 NKH196714 NUD196714 ODZ196714 ONV196714 OXR196714 PHN196714 PRJ196714 QBF196714 QLB196714 QUX196714 RET196714 ROP196714 RYL196714 SIH196714 SSD196714 TBZ196714 TLV196714 TVR196714 UFN196714 UPJ196714 UZF196714 VJB196714 VSX196714 WCT196714 WMP196714 WWL196714 AD262250 JZ262250 TV262250 ADR262250 ANN262250 AXJ262250 BHF262250 BRB262250 CAX262250 CKT262250 CUP262250 DEL262250 DOH262250 DYD262250 EHZ262250 ERV262250 FBR262250 FLN262250 FVJ262250 GFF262250 GPB262250 GYX262250 HIT262250 HSP262250 ICL262250 IMH262250 IWD262250 JFZ262250 JPV262250 JZR262250 KJN262250 KTJ262250 LDF262250 LNB262250 LWX262250 MGT262250 MQP262250 NAL262250 NKH262250 NUD262250 ODZ262250 ONV262250 OXR262250 PHN262250 PRJ262250 QBF262250 QLB262250 QUX262250 RET262250 ROP262250 RYL262250 SIH262250 SSD262250 TBZ262250 TLV262250 TVR262250 UFN262250 UPJ262250 UZF262250 VJB262250 VSX262250 WCT262250 WMP262250 WWL262250 AD327786 JZ327786 TV327786 ADR327786 ANN327786 AXJ327786 BHF327786 BRB327786 CAX327786 CKT327786 CUP327786 DEL327786 DOH327786 DYD327786 EHZ327786 ERV327786 FBR327786 FLN327786 FVJ327786 GFF327786 GPB327786 GYX327786 HIT327786 HSP327786 ICL327786 IMH327786 IWD327786 JFZ327786 JPV327786 JZR327786 KJN327786 KTJ327786 LDF327786 LNB327786 LWX327786 MGT327786 MQP327786 NAL327786 NKH327786 NUD327786 ODZ327786 ONV327786 OXR327786 PHN327786 PRJ327786 QBF327786 QLB327786 QUX327786 RET327786 ROP327786 RYL327786 SIH327786 SSD327786 TBZ327786 TLV327786 TVR327786 UFN327786 UPJ327786 UZF327786 VJB327786 VSX327786 WCT327786 WMP327786 WWL327786 AD393322 JZ393322 TV393322 ADR393322 ANN393322 AXJ393322 BHF393322 BRB393322 CAX393322 CKT393322 CUP393322 DEL393322 DOH393322 DYD393322 EHZ393322 ERV393322 FBR393322 FLN393322 FVJ393322 GFF393322 GPB393322 GYX393322 HIT393322 HSP393322 ICL393322 IMH393322 IWD393322 JFZ393322 JPV393322 JZR393322 KJN393322 KTJ393322 LDF393322 LNB393322 LWX393322 MGT393322 MQP393322 NAL393322 NKH393322 NUD393322 ODZ393322 ONV393322 OXR393322 PHN393322 PRJ393322 QBF393322 QLB393322 QUX393322 RET393322 ROP393322 RYL393322 SIH393322 SSD393322 TBZ393322 TLV393322 TVR393322 UFN393322 UPJ393322 UZF393322 VJB393322 VSX393322 WCT393322 WMP393322 WWL393322 AD458858 JZ458858 TV458858 ADR458858 ANN458858 AXJ458858 BHF458858 BRB458858 CAX458858 CKT458858 CUP458858 DEL458858 DOH458858 DYD458858 EHZ458858 ERV458858 FBR458858 FLN458858 FVJ458858 GFF458858 GPB458858 GYX458858 HIT458858 HSP458858 ICL458858 IMH458858 IWD458858 JFZ458858 JPV458858 JZR458858 KJN458858 KTJ458858 LDF458858 LNB458858 LWX458858 MGT458858 MQP458858 NAL458858 NKH458858 NUD458858 ODZ458858 ONV458858 OXR458858 PHN458858 PRJ458858 QBF458858 QLB458858 QUX458858 RET458858 ROP458858 RYL458858 SIH458858 SSD458858 TBZ458858 TLV458858 TVR458858 UFN458858 UPJ458858 UZF458858 VJB458858 VSX458858 WCT458858 WMP458858 WWL458858 AD524394 JZ524394 TV524394 ADR524394 ANN524394 AXJ524394 BHF524394 BRB524394 CAX524394 CKT524394 CUP524394 DEL524394 DOH524394 DYD524394 EHZ524394 ERV524394 FBR524394 FLN524394 FVJ524394 GFF524394 GPB524394 GYX524394 HIT524394 HSP524394 ICL524394 IMH524394 IWD524394 JFZ524394 JPV524394 JZR524394 KJN524394 KTJ524394 LDF524394 LNB524394 LWX524394 MGT524394 MQP524394 NAL524394 NKH524394 NUD524394 ODZ524394 ONV524394 OXR524394 PHN524394 PRJ524394 QBF524394 QLB524394 QUX524394 RET524394 ROP524394 RYL524394 SIH524394 SSD524394 TBZ524394 TLV524394 TVR524394 UFN524394 UPJ524394 UZF524394 VJB524394 VSX524394 WCT524394 WMP524394 WWL524394 AD589930 JZ589930 TV589930 ADR589930 ANN589930 AXJ589930 BHF589930 BRB589930 CAX589930 CKT589930 CUP589930 DEL589930 DOH589930 DYD589930 EHZ589930 ERV589930 FBR589930 FLN589930 FVJ589930 GFF589930 GPB589930 GYX589930 HIT589930 HSP589930 ICL589930 IMH589930 IWD589930 JFZ589930 JPV589930 JZR589930 KJN589930 KTJ589930 LDF589930 LNB589930 LWX589930 MGT589930 MQP589930 NAL589930 NKH589930 NUD589930 ODZ589930 ONV589930 OXR589930 PHN589930 PRJ589930 QBF589930 QLB589930 QUX589930 RET589930 ROP589930 RYL589930 SIH589930 SSD589930 TBZ589930 TLV589930 TVR589930 UFN589930 UPJ589930 UZF589930 VJB589930 VSX589930 WCT589930 WMP589930 WWL589930 AD655466 JZ655466 TV655466 ADR655466 ANN655466 AXJ655466 BHF655466 BRB655466 CAX655466 CKT655466 CUP655466 DEL655466 DOH655466 DYD655466 EHZ655466 ERV655466 FBR655466 FLN655466 FVJ655466 GFF655466 GPB655466 GYX655466 HIT655466 HSP655466 ICL655466 IMH655466 IWD655466 JFZ655466 JPV655466 JZR655466 KJN655466 KTJ655466 LDF655466 LNB655466 LWX655466 MGT655466 MQP655466 NAL655466 NKH655466 NUD655466 ODZ655466 ONV655466 OXR655466 PHN655466 PRJ655466 QBF655466 QLB655466 QUX655466 RET655466 ROP655466 RYL655466 SIH655466 SSD655466 TBZ655466 TLV655466 TVR655466 UFN655466 UPJ655466 UZF655466 VJB655466 VSX655466 WCT655466 WMP655466 WWL655466 AD721002 JZ721002 TV721002 ADR721002 ANN721002 AXJ721002 BHF721002 BRB721002 CAX721002 CKT721002 CUP721002 DEL721002 DOH721002 DYD721002 EHZ721002 ERV721002 FBR721002 FLN721002 FVJ721002 GFF721002 GPB721002 GYX721002 HIT721002 HSP721002 ICL721002 IMH721002 IWD721002 JFZ721002 JPV721002 JZR721002 KJN721002 KTJ721002 LDF721002 LNB721002 LWX721002 MGT721002 MQP721002 NAL721002 NKH721002 NUD721002 ODZ721002 ONV721002 OXR721002 PHN721002 PRJ721002 QBF721002 QLB721002 QUX721002 RET721002 ROP721002 RYL721002 SIH721002 SSD721002 TBZ721002 TLV721002 TVR721002 UFN721002 UPJ721002 UZF721002 VJB721002 VSX721002 WCT721002 WMP721002 WWL721002 AD786538 JZ786538 TV786538 ADR786538 ANN786538 AXJ786538 BHF786538 BRB786538 CAX786538 CKT786538 CUP786538 DEL786538 DOH786538 DYD786538 EHZ786538 ERV786538 FBR786538 FLN786538 FVJ786538 GFF786538 GPB786538 GYX786538 HIT786538 HSP786538 ICL786538 IMH786538 IWD786538 JFZ786538 JPV786538 JZR786538 KJN786538 KTJ786538 LDF786538 LNB786538 LWX786538 MGT786538 MQP786538 NAL786538 NKH786538 NUD786538 ODZ786538 ONV786538 OXR786538 PHN786538 PRJ786538 QBF786538 QLB786538 QUX786538 RET786538 ROP786538 RYL786538 SIH786538 SSD786538 TBZ786538 TLV786538 TVR786538 UFN786538 UPJ786538 UZF786538 VJB786538 VSX786538 WCT786538 WMP786538 WWL786538 AD852074 JZ852074 TV852074 ADR852074 ANN852074 AXJ852074 BHF852074 BRB852074 CAX852074 CKT852074 CUP852074 DEL852074 DOH852074 DYD852074 EHZ852074 ERV852074 FBR852074 FLN852074 FVJ852074 GFF852074 GPB852074 GYX852074 HIT852074 HSP852074 ICL852074 IMH852074 IWD852074 JFZ852074 JPV852074 JZR852074 KJN852074 KTJ852074 LDF852074 LNB852074 LWX852074 MGT852074 MQP852074 NAL852074 NKH852074 NUD852074 ODZ852074 ONV852074 OXR852074 PHN852074 PRJ852074 QBF852074 QLB852074 QUX852074 RET852074 ROP852074 RYL852074 SIH852074 SSD852074 TBZ852074 TLV852074 TVR852074 UFN852074 UPJ852074 UZF852074 VJB852074 VSX852074 WCT852074 WMP852074 WWL852074 AD917610 JZ917610 TV917610 ADR917610 ANN917610 AXJ917610 BHF917610 BRB917610 CAX917610 CKT917610 CUP917610 DEL917610 DOH917610 DYD917610 EHZ917610 ERV917610 FBR917610 FLN917610 FVJ917610 GFF917610 GPB917610 GYX917610 HIT917610 HSP917610 ICL917610 IMH917610 IWD917610 JFZ917610 JPV917610 JZR917610 KJN917610 KTJ917610 LDF917610 LNB917610 LWX917610 MGT917610 MQP917610 NAL917610 NKH917610 NUD917610 ODZ917610 ONV917610 OXR917610 PHN917610 PRJ917610 QBF917610 QLB917610 QUX917610 RET917610 ROP917610 RYL917610 SIH917610 SSD917610 TBZ917610 TLV917610 TVR917610 UFN917610 UPJ917610 UZF917610 VJB917610 VSX917610 WCT917610 WMP917610 WWL917610 AD983146 JZ983146 TV983146 ADR983146 ANN983146 AXJ983146 BHF983146 BRB983146 CAX983146 CKT983146 CUP983146 DEL983146 DOH983146 DYD983146 EHZ983146 ERV983146 FBR983146 FLN983146 FVJ983146 GFF983146 GPB983146 GYX983146 HIT983146 HSP983146 ICL983146 IMH983146 IWD983146 JFZ983146 JPV983146 JZR983146 KJN983146 KTJ983146 LDF983146 LNB983146 LWX983146 MGT983146 MQP983146 NAL983146 NKH983146 NUD983146 ODZ983146 ONV983146 OXR983146 PHN983146 PRJ983146 QBF983146 QLB983146 QUX983146 RET983146 ROP983146 RYL983146 SIH983146 SSD983146 TBZ983146 TLV983146 TVR983146 UFN983146 UPJ983146 UZF983146 VJB983146 VSX983146 WCT983146 WMP983146 WWL983146 AD108 JZ108 TV108 ADR108 ANN108 AXJ108 BHF108 BRB108 CAX108 CKT108 CUP108 DEL108 DOH108 DYD108 EHZ108 ERV108 FBR108 FLN108 FVJ108 GFF108 GPB108 GYX108 HIT108 HSP108 ICL108 IMH108 IWD108 JFZ108 JPV108 JZR108 KJN108 KTJ108 LDF108 LNB108 LWX108 MGT108 MQP108 NAL108 NKH108 NUD108 ODZ108 ONV108 OXR108 PHN108 PRJ108 QBF108 QLB108 QUX108 RET108 ROP108 RYL108 SIH108 SSD108 TBZ108 TLV108 TVR108 UFN108 UPJ108 UZF108 VJB108 VSX108 WCT108 WMP108 WWL108 AD65644 JZ65644 TV65644 ADR65644 ANN65644 AXJ65644 BHF65644 BRB65644 CAX65644 CKT65644 CUP65644 DEL65644 DOH65644 DYD65644 EHZ65644 ERV65644 FBR65644 FLN65644 FVJ65644 GFF65644 GPB65644 GYX65644 HIT65644 HSP65644 ICL65644 IMH65644 IWD65644 JFZ65644 JPV65644 JZR65644 KJN65644 KTJ65644 LDF65644 LNB65644 LWX65644 MGT65644 MQP65644 NAL65644 NKH65644 NUD65644 ODZ65644 ONV65644 OXR65644 PHN65644 PRJ65644 QBF65644 QLB65644 QUX65644 RET65644 ROP65644 RYL65644 SIH65644 SSD65644 TBZ65644 TLV65644 TVR65644 UFN65644 UPJ65644 UZF65644 VJB65644 VSX65644 WCT65644 WMP65644 WWL65644 AD131180 JZ131180 TV131180 ADR131180 ANN131180 AXJ131180 BHF131180 BRB131180 CAX131180 CKT131180 CUP131180 DEL131180 DOH131180 DYD131180 EHZ131180 ERV131180 FBR131180 FLN131180 FVJ131180 GFF131180 GPB131180 GYX131180 HIT131180 HSP131180 ICL131180 IMH131180 IWD131180 JFZ131180 JPV131180 JZR131180 KJN131180 KTJ131180 LDF131180 LNB131180 LWX131180 MGT131180 MQP131180 NAL131180 NKH131180 NUD131180 ODZ131180 ONV131180 OXR131180 PHN131180 PRJ131180 QBF131180 QLB131180 QUX131180 RET131180 ROP131180 RYL131180 SIH131180 SSD131180 TBZ131180 TLV131180 TVR131180 UFN131180 UPJ131180 UZF131180 VJB131180 VSX131180 WCT131180 WMP131180 WWL131180 AD196716 JZ196716 TV196716 ADR196716 ANN196716 AXJ196716 BHF196716 BRB196716 CAX196716 CKT196716 CUP196716 DEL196716 DOH196716 DYD196716 EHZ196716 ERV196716 FBR196716 FLN196716 FVJ196716 GFF196716 GPB196716 GYX196716 HIT196716 HSP196716 ICL196716 IMH196716 IWD196716 JFZ196716 JPV196716 JZR196716 KJN196716 KTJ196716 LDF196716 LNB196716 LWX196716 MGT196716 MQP196716 NAL196716 NKH196716 NUD196716 ODZ196716 ONV196716 OXR196716 PHN196716 PRJ196716 QBF196716 QLB196716 QUX196716 RET196716 ROP196716 RYL196716 SIH196716 SSD196716 TBZ196716 TLV196716 TVR196716 UFN196716 UPJ196716 UZF196716 VJB196716 VSX196716 WCT196716 WMP196716 WWL196716 AD262252 JZ262252 TV262252 ADR262252 ANN262252 AXJ262252 BHF262252 BRB262252 CAX262252 CKT262252 CUP262252 DEL262252 DOH262252 DYD262252 EHZ262252 ERV262252 FBR262252 FLN262252 FVJ262252 GFF262252 GPB262252 GYX262252 HIT262252 HSP262252 ICL262252 IMH262252 IWD262252 JFZ262252 JPV262252 JZR262252 KJN262252 KTJ262252 LDF262252 LNB262252 LWX262252 MGT262252 MQP262252 NAL262252 NKH262252 NUD262252 ODZ262252 ONV262252 OXR262252 PHN262252 PRJ262252 QBF262252 QLB262252 QUX262252 RET262252 ROP262252 RYL262252 SIH262252 SSD262252 TBZ262252 TLV262252 TVR262252 UFN262252 UPJ262252 UZF262252 VJB262252 VSX262252 WCT262252 WMP262252 WWL262252 AD327788 JZ327788 TV327788 ADR327788 ANN327788 AXJ327788 BHF327788 BRB327788 CAX327788 CKT327788 CUP327788 DEL327788 DOH327788 DYD327788 EHZ327788 ERV327788 FBR327788 FLN327788 FVJ327788 GFF327788 GPB327788 GYX327788 HIT327788 HSP327788 ICL327788 IMH327788 IWD327788 JFZ327788 JPV327788 JZR327788 KJN327788 KTJ327788 LDF327788 LNB327788 LWX327788 MGT327788 MQP327788 NAL327788 NKH327788 NUD327788 ODZ327788 ONV327788 OXR327788 PHN327788 PRJ327788 QBF327788 QLB327788 QUX327788 RET327788 ROP327788 RYL327788 SIH327788 SSD327788 TBZ327788 TLV327788 TVR327788 UFN327788 UPJ327788 UZF327788 VJB327788 VSX327788 WCT327788 WMP327788 WWL327788 AD393324 JZ393324 TV393324 ADR393324 ANN393324 AXJ393324 BHF393324 BRB393324 CAX393324 CKT393324 CUP393324 DEL393324 DOH393324 DYD393324 EHZ393324 ERV393324 FBR393324 FLN393324 FVJ393324 GFF393324 GPB393324 GYX393324 HIT393324 HSP393324 ICL393324 IMH393324 IWD393324 JFZ393324 JPV393324 JZR393324 KJN393324 KTJ393324 LDF393324 LNB393324 LWX393324 MGT393324 MQP393324 NAL393324 NKH393324 NUD393324 ODZ393324 ONV393324 OXR393324 PHN393324 PRJ393324 QBF393324 QLB393324 QUX393324 RET393324 ROP393324 RYL393324 SIH393324 SSD393324 TBZ393324 TLV393324 TVR393324 UFN393324 UPJ393324 UZF393324 VJB393324 VSX393324 WCT393324 WMP393324 WWL393324 AD458860 JZ458860 TV458860 ADR458860 ANN458860 AXJ458860 BHF458860 BRB458860 CAX458860 CKT458860 CUP458860 DEL458860 DOH458860 DYD458860 EHZ458860 ERV458860 FBR458860 FLN458860 FVJ458860 GFF458860 GPB458860 GYX458860 HIT458860 HSP458860 ICL458860 IMH458860 IWD458860 JFZ458860 JPV458860 JZR458860 KJN458860 KTJ458860 LDF458860 LNB458860 LWX458860 MGT458860 MQP458860 NAL458860 NKH458860 NUD458860 ODZ458860 ONV458860 OXR458860 PHN458860 PRJ458860 QBF458860 QLB458860 QUX458860 RET458860 ROP458860 RYL458860 SIH458860 SSD458860 TBZ458860 TLV458860 TVR458860 UFN458860 UPJ458860 UZF458860 VJB458860 VSX458860 WCT458860 WMP458860 WWL458860 AD524396 JZ524396 TV524396 ADR524396 ANN524396 AXJ524396 BHF524396 BRB524396 CAX524396 CKT524396 CUP524396 DEL524396 DOH524396 DYD524396 EHZ524396 ERV524396 FBR524396 FLN524396 FVJ524396 GFF524396 GPB524396 GYX524396 HIT524396 HSP524396 ICL524396 IMH524396 IWD524396 JFZ524396 JPV524396 JZR524396 KJN524396 KTJ524396 LDF524396 LNB524396 LWX524396 MGT524396 MQP524396 NAL524396 NKH524396 NUD524396 ODZ524396 ONV524396 OXR524396 PHN524396 PRJ524396 QBF524396 QLB524396 QUX524396 RET524396 ROP524396 RYL524396 SIH524396 SSD524396 TBZ524396 TLV524396 TVR524396 UFN524396 UPJ524396 UZF524396 VJB524396 VSX524396 WCT524396 WMP524396 WWL524396 AD589932 JZ589932 TV589932 ADR589932 ANN589932 AXJ589932 BHF589932 BRB589932 CAX589932 CKT589932 CUP589932 DEL589932 DOH589932 DYD589932 EHZ589932 ERV589932 FBR589932 FLN589932 FVJ589932 GFF589932 GPB589932 GYX589932 HIT589932 HSP589932 ICL589932 IMH589932 IWD589932 JFZ589932 JPV589932 JZR589932 KJN589932 KTJ589932 LDF589932 LNB589932 LWX589932 MGT589932 MQP589932 NAL589932 NKH589932 NUD589932 ODZ589932 ONV589932 OXR589932 PHN589932 PRJ589932 QBF589932 QLB589932 QUX589932 RET589932 ROP589932 RYL589932 SIH589932 SSD589932 TBZ589932 TLV589932 TVR589932 UFN589932 UPJ589932 UZF589932 VJB589932 VSX589932 WCT589932 WMP589932 WWL589932 AD655468 JZ655468 TV655468 ADR655468 ANN655468 AXJ655468 BHF655468 BRB655468 CAX655468 CKT655468 CUP655468 DEL655468 DOH655468 DYD655468 EHZ655468 ERV655468 FBR655468 FLN655468 FVJ655468 GFF655468 GPB655468 GYX655468 HIT655468 HSP655468 ICL655468 IMH655468 IWD655468 JFZ655468 JPV655468 JZR655468 KJN655468 KTJ655468 LDF655468 LNB655468 LWX655468 MGT655468 MQP655468 NAL655468 NKH655468 NUD655468 ODZ655468 ONV655468 OXR655468 PHN655468 PRJ655468 QBF655468 QLB655468 QUX655468 RET655468 ROP655468 RYL655468 SIH655468 SSD655468 TBZ655468 TLV655468 TVR655468 UFN655468 UPJ655468 UZF655468 VJB655468 VSX655468 WCT655468 WMP655468 WWL655468 AD721004 JZ721004 TV721004 ADR721004 ANN721004 AXJ721004 BHF721004 BRB721004 CAX721004 CKT721004 CUP721004 DEL721004 DOH721004 DYD721004 EHZ721004 ERV721004 FBR721004 FLN721004 FVJ721004 GFF721004 GPB721004 GYX721004 HIT721004 HSP721004 ICL721004 IMH721004 IWD721004 JFZ721004 JPV721004 JZR721004 KJN721004 KTJ721004 LDF721004 LNB721004 LWX721004 MGT721004 MQP721004 NAL721004 NKH721004 NUD721004 ODZ721004 ONV721004 OXR721004 PHN721004 PRJ721004 QBF721004 QLB721004 QUX721004 RET721004 ROP721004 RYL721004 SIH721004 SSD721004 TBZ721004 TLV721004 TVR721004 UFN721004 UPJ721004 UZF721004 VJB721004 VSX721004 WCT721004 WMP721004 WWL721004 AD786540 JZ786540 TV786540 ADR786540 ANN786540 AXJ786540 BHF786540 BRB786540 CAX786540 CKT786540 CUP786540 DEL786540 DOH786540 DYD786540 EHZ786540 ERV786540 FBR786540 FLN786540 FVJ786540 GFF786540 GPB786540 GYX786540 HIT786540 HSP786540 ICL786540 IMH786540 IWD786540 JFZ786540 JPV786540 JZR786540 KJN786540 KTJ786540 LDF786540 LNB786540 LWX786540 MGT786540 MQP786540 NAL786540 NKH786540 NUD786540 ODZ786540 ONV786540 OXR786540 PHN786540 PRJ786540 QBF786540 QLB786540 QUX786540 RET786540 ROP786540 RYL786540 SIH786540 SSD786540 TBZ786540 TLV786540 TVR786540 UFN786540 UPJ786540 UZF786540 VJB786540 VSX786540 WCT786540 WMP786540 WWL786540 AD852076 JZ852076 TV852076 ADR852076 ANN852076 AXJ852076 BHF852076 BRB852076 CAX852076 CKT852076 CUP852076 DEL852076 DOH852076 DYD852076 EHZ852076 ERV852076 FBR852076 FLN852076 FVJ852076 GFF852076 GPB852076 GYX852076 HIT852076 HSP852076 ICL852076 IMH852076 IWD852076 JFZ852076 JPV852076 JZR852076 KJN852076 KTJ852076 LDF852076 LNB852076 LWX852076 MGT852076 MQP852076 NAL852076 NKH852076 NUD852076 ODZ852076 ONV852076 OXR852076 PHN852076 PRJ852076 QBF852076 QLB852076 QUX852076 RET852076 ROP852076 RYL852076 SIH852076 SSD852076 TBZ852076 TLV852076 TVR852076 UFN852076 UPJ852076 UZF852076 VJB852076 VSX852076 WCT852076 WMP852076 WWL852076 AD917612 JZ917612 TV917612 ADR917612 ANN917612 AXJ917612 BHF917612 BRB917612 CAX917612 CKT917612 CUP917612 DEL917612 DOH917612 DYD917612 EHZ917612 ERV917612 FBR917612 FLN917612 FVJ917612 GFF917612 GPB917612 GYX917612 HIT917612 HSP917612 ICL917612 IMH917612 IWD917612 JFZ917612 JPV917612 JZR917612 KJN917612 KTJ917612 LDF917612 LNB917612 LWX917612 MGT917612 MQP917612 NAL917612 NKH917612 NUD917612 ODZ917612 ONV917612 OXR917612 PHN917612 PRJ917612 QBF917612 QLB917612 QUX917612 RET917612 ROP917612 RYL917612 SIH917612 SSD917612 TBZ917612 TLV917612 TVR917612 UFN917612 UPJ917612 UZF917612 VJB917612 VSX917612 WCT917612 WMP917612 WWL917612 AD983148 JZ983148 TV983148 ADR983148 ANN983148 AXJ983148 BHF983148 BRB983148 CAX983148 CKT983148 CUP983148 DEL983148 DOH983148 DYD983148 EHZ983148 ERV983148 FBR983148 FLN983148 FVJ983148 GFF983148 GPB983148 GYX983148 HIT983148 HSP983148 ICL983148 IMH983148 IWD983148 JFZ983148 JPV983148 JZR983148 KJN983148 KTJ983148 LDF983148 LNB983148 LWX983148 MGT983148 MQP983148 NAL983148 NKH983148 NUD983148 ODZ983148 ONV983148 OXR983148 PHN983148 PRJ983148 QBF983148 QLB983148 QUX983148 RET983148 ROP983148 RYL983148 SIH983148 SSD983148 TBZ983148 TLV983148 TVR983148 UFN983148 UPJ983148 UZF983148 VJB983148 VSX983148 WCT983148 WMP983148 WWL983148 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N65624 JJ65624 TF65624 ADB65624 AMX65624 AWT65624 BGP65624 BQL65624 CAH65624 CKD65624 CTZ65624 DDV65624 DNR65624 DXN65624 EHJ65624 ERF65624 FBB65624 FKX65624 FUT65624 GEP65624 GOL65624 GYH65624 HID65624 HRZ65624 IBV65624 ILR65624 IVN65624 JFJ65624 JPF65624 JZB65624 KIX65624 KST65624 LCP65624 LML65624 LWH65624 MGD65624 MPZ65624 MZV65624 NJR65624 NTN65624 ODJ65624 ONF65624 OXB65624 PGX65624 PQT65624 QAP65624 QKL65624 QUH65624 RED65624 RNZ65624 RXV65624 SHR65624 SRN65624 TBJ65624 TLF65624 TVB65624 UEX65624 UOT65624 UYP65624 VIL65624 VSH65624 WCD65624 WLZ65624 WVV65624 N131160 JJ131160 TF131160 ADB131160 AMX131160 AWT131160 BGP131160 BQL131160 CAH131160 CKD131160 CTZ131160 DDV131160 DNR131160 DXN131160 EHJ131160 ERF131160 FBB131160 FKX131160 FUT131160 GEP131160 GOL131160 GYH131160 HID131160 HRZ131160 IBV131160 ILR131160 IVN131160 JFJ131160 JPF131160 JZB131160 KIX131160 KST131160 LCP131160 LML131160 LWH131160 MGD131160 MPZ131160 MZV131160 NJR131160 NTN131160 ODJ131160 ONF131160 OXB131160 PGX131160 PQT131160 QAP131160 QKL131160 QUH131160 RED131160 RNZ131160 RXV131160 SHR131160 SRN131160 TBJ131160 TLF131160 TVB131160 UEX131160 UOT131160 UYP131160 VIL131160 VSH131160 WCD131160 WLZ131160 WVV131160 N196696 JJ196696 TF196696 ADB196696 AMX196696 AWT196696 BGP196696 BQL196696 CAH196696 CKD196696 CTZ196696 DDV196696 DNR196696 DXN196696 EHJ196696 ERF196696 FBB196696 FKX196696 FUT196696 GEP196696 GOL196696 GYH196696 HID196696 HRZ196696 IBV196696 ILR196696 IVN196696 JFJ196696 JPF196696 JZB196696 KIX196696 KST196696 LCP196696 LML196696 LWH196696 MGD196696 MPZ196696 MZV196696 NJR196696 NTN196696 ODJ196696 ONF196696 OXB196696 PGX196696 PQT196696 QAP196696 QKL196696 QUH196696 RED196696 RNZ196696 RXV196696 SHR196696 SRN196696 TBJ196696 TLF196696 TVB196696 UEX196696 UOT196696 UYP196696 VIL196696 VSH196696 WCD196696 WLZ196696 WVV196696 N262232 JJ262232 TF262232 ADB262232 AMX262232 AWT262232 BGP262232 BQL262232 CAH262232 CKD262232 CTZ262232 DDV262232 DNR262232 DXN262232 EHJ262232 ERF262232 FBB262232 FKX262232 FUT262232 GEP262232 GOL262232 GYH262232 HID262232 HRZ262232 IBV262232 ILR262232 IVN262232 JFJ262232 JPF262232 JZB262232 KIX262232 KST262232 LCP262232 LML262232 LWH262232 MGD262232 MPZ262232 MZV262232 NJR262232 NTN262232 ODJ262232 ONF262232 OXB262232 PGX262232 PQT262232 QAP262232 QKL262232 QUH262232 RED262232 RNZ262232 RXV262232 SHR262232 SRN262232 TBJ262232 TLF262232 TVB262232 UEX262232 UOT262232 UYP262232 VIL262232 VSH262232 WCD262232 WLZ262232 WVV262232 N327768 JJ327768 TF327768 ADB327768 AMX327768 AWT327768 BGP327768 BQL327768 CAH327768 CKD327768 CTZ327768 DDV327768 DNR327768 DXN327768 EHJ327768 ERF327768 FBB327768 FKX327768 FUT327768 GEP327768 GOL327768 GYH327768 HID327768 HRZ327768 IBV327768 ILR327768 IVN327768 JFJ327768 JPF327768 JZB327768 KIX327768 KST327768 LCP327768 LML327768 LWH327768 MGD327768 MPZ327768 MZV327768 NJR327768 NTN327768 ODJ327768 ONF327768 OXB327768 PGX327768 PQT327768 QAP327768 QKL327768 QUH327768 RED327768 RNZ327768 RXV327768 SHR327768 SRN327768 TBJ327768 TLF327768 TVB327768 UEX327768 UOT327768 UYP327768 VIL327768 VSH327768 WCD327768 WLZ327768 WVV327768 N393304 JJ393304 TF393304 ADB393304 AMX393304 AWT393304 BGP393304 BQL393304 CAH393304 CKD393304 CTZ393304 DDV393304 DNR393304 DXN393304 EHJ393304 ERF393304 FBB393304 FKX393304 FUT393304 GEP393304 GOL393304 GYH393304 HID393304 HRZ393304 IBV393304 ILR393304 IVN393304 JFJ393304 JPF393304 JZB393304 KIX393304 KST393304 LCP393304 LML393304 LWH393304 MGD393304 MPZ393304 MZV393304 NJR393304 NTN393304 ODJ393304 ONF393304 OXB393304 PGX393304 PQT393304 QAP393304 QKL393304 QUH393304 RED393304 RNZ393304 RXV393304 SHR393304 SRN393304 TBJ393304 TLF393304 TVB393304 UEX393304 UOT393304 UYP393304 VIL393304 VSH393304 WCD393304 WLZ393304 WVV393304 N458840 JJ458840 TF458840 ADB458840 AMX458840 AWT458840 BGP458840 BQL458840 CAH458840 CKD458840 CTZ458840 DDV458840 DNR458840 DXN458840 EHJ458840 ERF458840 FBB458840 FKX458840 FUT458840 GEP458840 GOL458840 GYH458840 HID458840 HRZ458840 IBV458840 ILR458840 IVN458840 JFJ458840 JPF458840 JZB458840 KIX458840 KST458840 LCP458840 LML458840 LWH458840 MGD458840 MPZ458840 MZV458840 NJR458840 NTN458840 ODJ458840 ONF458840 OXB458840 PGX458840 PQT458840 QAP458840 QKL458840 QUH458840 RED458840 RNZ458840 RXV458840 SHR458840 SRN458840 TBJ458840 TLF458840 TVB458840 UEX458840 UOT458840 UYP458840 VIL458840 VSH458840 WCD458840 WLZ458840 WVV458840 N524376 JJ524376 TF524376 ADB524376 AMX524376 AWT524376 BGP524376 BQL524376 CAH524376 CKD524376 CTZ524376 DDV524376 DNR524376 DXN524376 EHJ524376 ERF524376 FBB524376 FKX524376 FUT524376 GEP524376 GOL524376 GYH524376 HID524376 HRZ524376 IBV524376 ILR524376 IVN524376 JFJ524376 JPF524376 JZB524376 KIX524376 KST524376 LCP524376 LML524376 LWH524376 MGD524376 MPZ524376 MZV524376 NJR524376 NTN524376 ODJ524376 ONF524376 OXB524376 PGX524376 PQT524376 QAP524376 QKL524376 QUH524376 RED524376 RNZ524376 RXV524376 SHR524376 SRN524376 TBJ524376 TLF524376 TVB524376 UEX524376 UOT524376 UYP524376 VIL524376 VSH524376 WCD524376 WLZ524376 WVV524376 N589912 JJ589912 TF589912 ADB589912 AMX589912 AWT589912 BGP589912 BQL589912 CAH589912 CKD589912 CTZ589912 DDV589912 DNR589912 DXN589912 EHJ589912 ERF589912 FBB589912 FKX589912 FUT589912 GEP589912 GOL589912 GYH589912 HID589912 HRZ589912 IBV589912 ILR589912 IVN589912 JFJ589912 JPF589912 JZB589912 KIX589912 KST589912 LCP589912 LML589912 LWH589912 MGD589912 MPZ589912 MZV589912 NJR589912 NTN589912 ODJ589912 ONF589912 OXB589912 PGX589912 PQT589912 QAP589912 QKL589912 QUH589912 RED589912 RNZ589912 RXV589912 SHR589912 SRN589912 TBJ589912 TLF589912 TVB589912 UEX589912 UOT589912 UYP589912 VIL589912 VSH589912 WCD589912 WLZ589912 WVV589912 N655448 JJ655448 TF655448 ADB655448 AMX655448 AWT655448 BGP655448 BQL655448 CAH655448 CKD655448 CTZ655448 DDV655448 DNR655448 DXN655448 EHJ655448 ERF655448 FBB655448 FKX655448 FUT655448 GEP655448 GOL655448 GYH655448 HID655448 HRZ655448 IBV655448 ILR655448 IVN655448 JFJ655448 JPF655448 JZB655448 KIX655448 KST655448 LCP655448 LML655448 LWH655448 MGD655448 MPZ655448 MZV655448 NJR655448 NTN655448 ODJ655448 ONF655448 OXB655448 PGX655448 PQT655448 QAP655448 QKL655448 QUH655448 RED655448 RNZ655448 RXV655448 SHR655448 SRN655448 TBJ655448 TLF655448 TVB655448 UEX655448 UOT655448 UYP655448 VIL655448 VSH655448 WCD655448 WLZ655448 WVV655448 N720984 JJ720984 TF720984 ADB720984 AMX720984 AWT720984 BGP720984 BQL720984 CAH720984 CKD720984 CTZ720984 DDV720984 DNR720984 DXN720984 EHJ720984 ERF720984 FBB720984 FKX720984 FUT720984 GEP720984 GOL720984 GYH720984 HID720984 HRZ720984 IBV720984 ILR720984 IVN720984 JFJ720984 JPF720984 JZB720984 KIX720984 KST720984 LCP720984 LML720984 LWH720984 MGD720984 MPZ720984 MZV720984 NJR720984 NTN720984 ODJ720984 ONF720984 OXB720984 PGX720984 PQT720984 QAP720984 QKL720984 QUH720984 RED720984 RNZ720984 RXV720984 SHR720984 SRN720984 TBJ720984 TLF720984 TVB720984 UEX720984 UOT720984 UYP720984 VIL720984 VSH720984 WCD720984 WLZ720984 WVV720984 N786520 JJ786520 TF786520 ADB786520 AMX786520 AWT786520 BGP786520 BQL786520 CAH786520 CKD786520 CTZ786520 DDV786520 DNR786520 DXN786520 EHJ786520 ERF786520 FBB786520 FKX786520 FUT786520 GEP786520 GOL786520 GYH786520 HID786520 HRZ786520 IBV786520 ILR786520 IVN786520 JFJ786520 JPF786520 JZB786520 KIX786520 KST786520 LCP786520 LML786520 LWH786520 MGD786520 MPZ786520 MZV786520 NJR786520 NTN786520 ODJ786520 ONF786520 OXB786520 PGX786520 PQT786520 QAP786520 QKL786520 QUH786520 RED786520 RNZ786520 RXV786520 SHR786520 SRN786520 TBJ786520 TLF786520 TVB786520 UEX786520 UOT786520 UYP786520 VIL786520 VSH786520 WCD786520 WLZ786520 WVV786520 N852056 JJ852056 TF852056 ADB852056 AMX852056 AWT852056 BGP852056 BQL852056 CAH852056 CKD852056 CTZ852056 DDV852056 DNR852056 DXN852056 EHJ852056 ERF852056 FBB852056 FKX852056 FUT852056 GEP852056 GOL852056 GYH852056 HID852056 HRZ852056 IBV852056 ILR852056 IVN852056 JFJ852056 JPF852056 JZB852056 KIX852056 KST852056 LCP852056 LML852056 LWH852056 MGD852056 MPZ852056 MZV852056 NJR852056 NTN852056 ODJ852056 ONF852056 OXB852056 PGX852056 PQT852056 QAP852056 QKL852056 QUH852056 RED852056 RNZ852056 RXV852056 SHR852056 SRN852056 TBJ852056 TLF852056 TVB852056 UEX852056 UOT852056 UYP852056 VIL852056 VSH852056 WCD852056 WLZ852056 WVV852056 N917592 JJ917592 TF917592 ADB917592 AMX917592 AWT917592 BGP917592 BQL917592 CAH917592 CKD917592 CTZ917592 DDV917592 DNR917592 DXN917592 EHJ917592 ERF917592 FBB917592 FKX917592 FUT917592 GEP917592 GOL917592 GYH917592 HID917592 HRZ917592 IBV917592 ILR917592 IVN917592 JFJ917592 JPF917592 JZB917592 KIX917592 KST917592 LCP917592 LML917592 LWH917592 MGD917592 MPZ917592 MZV917592 NJR917592 NTN917592 ODJ917592 ONF917592 OXB917592 PGX917592 PQT917592 QAP917592 QKL917592 QUH917592 RED917592 RNZ917592 RXV917592 SHR917592 SRN917592 TBJ917592 TLF917592 TVB917592 UEX917592 UOT917592 UYP917592 VIL917592 VSH917592 WCD917592 WLZ917592 WVV917592 N983128 JJ983128 TF983128 ADB983128 AMX983128 AWT983128 BGP983128 BQL983128 CAH983128 CKD983128 CTZ983128 DDV983128 DNR983128 DXN983128 EHJ983128 ERF983128 FBB983128 FKX983128 FUT983128 GEP983128 GOL983128 GYH983128 HID983128 HRZ983128 IBV983128 ILR983128 IVN983128 JFJ983128 JPF983128 JZB983128 KIX983128 KST983128 LCP983128 LML983128 LWH983128 MGD983128 MPZ983128 MZV983128 NJR983128 NTN983128 ODJ983128 ONF983128 OXB983128 PGX983128 PQT983128 QAP983128 QKL983128 QUH983128 RED983128 RNZ983128 RXV983128 SHR983128 SRN983128 TBJ983128 TLF983128 TVB983128 UEX983128 UOT983128 UYP983128 VIL983128 VSH983128 WCD983128 WLZ983128 WVV983128 N209 JJ209 TF209 ADB209 AMX209 AWT209 BGP209 BQL209 CAH209 CKD209 CTZ209 DDV209 DNR209 DXN209 EHJ209 ERF209 FBB209 FKX209 FUT209 GEP209 GOL209 GYH209 HID209 HRZ209 IBV209 ILR209 IVN209 JFJ209 JPF209 JZB209 KIX209 KST209 LCP209 LML209 LWH209 MGD209 MPZ209 MZV209 NJR209 NTN209 ODJ209 ONF209 OXB209 PGX209 PQT209 QAP209 QKL209 QUH209 RED209 RNZ209 RXV209 SHR209 SRN209 TBJ209 TLF209 TVB209 UEX209 UOT209 UYP209 VIL209 VSH209 WCD209 WLZ209 WVV209 N65745 JJ65745 TF65745 ADB65745 AMX65745 AWT65745 BGP65745 BQL65745 CAH65745 CKD65745 CTZ65745 DDV65745 DNR65745 DXN65745 EHJ65745 ERF65745 FBB65745 FKX65745 FUT65745 GEP65745 GOL65745 GYH65745 HID65745 HRZ65745 IBV65745 ILR65745 IVN65745 JFJ65745 JPF65745 JZB65745 KIX65745 KST65745 LCP65745 LML65745 LWH65745 MGD65745 MPZ65745 MZV65745 NJR65745 NTN65745 ODJ65745 ONF65745 OXB65745 PGX65745 PQT65745 QAP65745 QKL65745 QUH65745 RED65745 RNZ65745 RXV65745 SHR65745 SRN65745 TBJ65745 TLF65745 TVB65745 UEX65745 UOT65745 UYP65745 VIL65745 VSH65745 WCD65745 WLZ65745 WVV65745 N131281 JJ131281 TF131281 ADB131281 AMX131281 AWT131281 BGP131281 BQL131281 CAH131281 CKD131281 CTZ131281 DDV131281 DNR131281 DXN131281 EHJ131281 ERF131281 FBB131281 FKX131281 FUT131281 GEP131281 GOL131281 GYH131281 HID131281 HRZ131281 IBV131281 ILR131281 IVN131281 JFJ131281 JPF131281 JZB131281 KIX131281 KST131281 LCP131281 LML131281 LWH131281 MGD131281 MPZ131281 MZV131281 NJR131281 NTN131281 ODJ131281 ONF131281 OXB131281 PGX131281 PQT131281 QAP131281 QKL131281 QUH131281 RED131281 RNZ131281 RXV131281 SHR131281 SRN131281 TBJ131281 TLF131281 TVB131281 UEX131281 UOT131281 UYP131281 VIL131281 VSH131281 WCD131281 WLZ131281 WVV131281 N196817 JJ196817 TF196817 ADB196817 AMX196817 AWT196817 BGP196817 BQL196817 CAH196817 CKD196817 CTZ196817 DDV196817 DNR196817 DXN196817 EHJ196817 ERF196817 FBB196817 FKX196817 FUT196817 GEP196817 GOL196817 GYH196817 HID196817 HRZ196817 IBV196817 ILR196817 IVN196817 JFJ196817 JPF196817 JZB196817 KIX196817 KST196817 LCP196817 LML196817 LWH196817 MGD196817 MPZ196817 MZV196817 NJR196817 NTN196817 ODJ196817 ONF196817 OXB196817 PGX196817 PQT196817 QAP196817 QKL196817 QUH196817 RED196817 RNZ196817 RXV196817 SHR196817 SRN196817 TBJ196817 TLF196817 TVB196817 UEX196817 UOT196817 UYP196817 VIL196817 VSH196817 WCD196817 WLZ196817 WVV196817 N262353 JJ262353 TF262353 ADB262353 AMX262353 AWT262353 BGP262353 BQL262353 CAH262353 CKD262353 CTZ262353 DDV262353 DNR262353 DXN262353 EHJ262353 ERF262353 FBB262353 FKX262353 FUT262353 GEP262353 GOL262353 GYH262353 HID262353 HRZ262353 IBV262353 ILR262353 IVN262353 JFJ262353 JPF262353 JZB262353 KIX262353 KST262353 LCP262353 LML262353 LWH262353 MGD262353 MPZ262353 MZV262353 NJR262353 NTN262353 ODJ262353 ONF262353 OXB262353 PGX262353 PQT262353 QAP262353 QKL262353 QUH262353 RED262353 RNZ262353 RXV262353 SHR262353 SRN262353 TBJ262353 TLF262353 TVB262353 UEX262353 UOT262353 UYP262353 VIL262353 VSH262353 WCD262353 WLZ262353 WVV262353 N327889 JJ327889 TF327889 ADB327889 AMX327889 AWT327889 BGP327889 BQL327889 CAH327889 CKD327889 CTZ327889 DDV327889 DNR327889 DXN327889 EHJ327889 ERF327889 FBB327889 FKX327889 FUT327889 GEP327889 GOL327889 GYH327889 HID327889 HRZ327889 IBV327889 ILR327889 IVN327889 JFJ327889 JPF327889 JZB327889 KIX327889 KST327889 LCP327889 LML327889 LWH327889 MGD327889 MPZ327889 MZV327889 NJR327889 NTN327889 ODJ327889 ONF327889 OXB327889 PGX327889 PQT327889 QAP327889 QKL327889 QUH327889 RED327889 RNZ327889 RXV327889 SHR327889 SRN327889 TBJ327889 TLF327889 TVB327889 UEX327889 UOT327889 UYP327889 VIL327889 VSH327889 WCD327889 WLZ327889 WVV327889 N393425 JJ393425 TF393425 ADB393425 AMX393425 AWT393425 BGP393425 BQL393425 CAH393425 CKD393425 CTZ393425 DDV393425 DNR393425 DXN393425 EHJ393425 ERF393425 FBB393425 FKX393425 FUT393425 GEP393425 GOL393425 GYH393425 HID393425 HRZ393425 IBV393425 ILR393425 IVN393425 JFJ393425 JPF393425 JZB393425 KIX393425 KST393425 LCP393425 LML393425 LWH393425 MGD393425 MPZ393425 MZV393425 NJR393425 NTN393425 ODJ393425 ONF393425 OXB393425 PGX393425 PQT393425 QAP393425 QKL393425 QUH393425 RED393425 RNZ393425 RXV393425 SHR393425 SRN393425 TBJ393425 TLF393425 TVB393425 UEX393425 UOT393425 UYP393425 VIL393425 VSH393425 WCD393425 WLZ393425 WVV393425 N458961 JJ458961 TF458961 ADB458961 AMX458961 AWT458961 BGP458961 BQL458961 CAH458961 CKD458961 CTZ458961 DDV458961 DNR458961 DXN458961 EHJ458961 ERF458961 FBB458961 FKX458961 FUT458961 GEP458961 GOL458961 GYH458961 HID458961 HRZ458961 IBV458961 ILR458961 IVN458961 JFJ458961 JPF458961 JZB458961 KIX458961 KST458961 LCP458961 LML458961 LWH458961 MGD458961 MPZ458961 MZV458961 NJR458961 NTN458961 ODJ458961 ONF458961 OXB458961 PGX458961 PQT458961 QAP458961 QKL458961 QUH458961 RED458961 RNZ458961 RXV458961 SHR458961 SRN458961 TBJ458961 TLF458961 TVB458961 UEX458961 UOT458961 UYP458961 VIL458961 VSH458961 WCD458961 WLZ458961 WVV458961 N524497 JJ524497 TF524497 ADB524497 AMX524497 AWT524497 BGP524497 BQL524497 CAH524497 CKD524497 CTZ524497 DDV524497 DNR524497 DXN524497 EHJ524497 ERF524497 FBB524497 FKX524497 FUT524497 GEP524497 GOL524497 GYH524497 HID524497 HRZ524497 IBV524497 ILR524497 IVN524497 JFJ524497 JPF524497 JZB524497 KIX524497 KST524497 LCP524497 LML524497 LWH524497 MGD524497 MPZ524497 MZV524497 NJR524497 NTN524497 ODJ524497 ONF524497 OXB524497 PGX524497 PQT524497 QAP524497 QKL524497 QUH524497 RED524497 RNZ524497 RXV524497 SHR524497 SRN524497 TBJ524497 TLF524497 TVB524497 UEX524497 UOT524497 UYP524497 VIL524497 VSH524497 WCD524497 WLZ524497 WVV524497 N590033 JJ590033 TF590033 ADB590033 AMX590033 AWT590033 BGP590033 BQL590033 CAH590033 CKD590033 CTZ590033 DDV590033 DNR590033 DXN590033 EHJ590033 ERF590033 FBB590033 FKX590033 FUT590033 GEP590033 GOL590033 GYH590033 HID590033 HRZ590033 IBV590033 ILR590033 IVN590033 JFJ590033 JPF590033 JZB590033 KIX590033 KST590033 LCP590033 LML590033 LWH590033 MGD590033 MPZ590033 MZV590033 NJR590033 NTN590033 ODJ590033 ONF590033 OXB590033 PGX590033 PQT590033 QAP590033 QKL590033 QUH590033 RED590033 RNZ590033 RXV590033 SHR590033 SRN590033 TBJ590033 TLF590033 TVB590033 UEX590033 UOT590033 UYP590033 VIL590033 VSH590033 WCD590033 WLZ590033 WVV590033 N655569 JJ655569 TF655569 ADB655569 AMX655569 AWT655569 BGP655569 BQL655569 CAH655569 CKD655569 CTZ655569 DDV655569 DNR655569 DXN655569 EHJ655569 ERF655569 FBB655569 FKX655569 FUT655569 GEP655569 GOL655569 GYH655569 HID655569 HRZ655569 IBV655569 ILR655569 IVN655569 JFJ655569 JPF655569 JZB655569 KIX655569 KST655569 LCP655569 LML655569 LWH655569 MGD655569 MPZ655569 MZV655569 NJR655569 NTN655569 ODJ655569 ONF655569 OXB655569 PGX655569 PQT655569 QAP655569 QKL655569 QUH655569 RED655569 RNZ655569 RXV655569 SHR655569 SRN655569 TBJ655569 TLF655569 TVB655569 UEX655569 UOT655569 UYP655569 VIL655569 VSH655569 WCD655569 WLZ655569 WVV655569 N721105 JJ721105 TF721105 ADB721105 AMX721105 AWT721105 BGP721105 BQL721105 CAH721105 CKD721105 CTZ721105 DDV721105 DNR721105 DXN721105 EHJ721105 ERF721105 FBB721105 FKX721105 FUT721105 GEP721105 GOL721105 GYH721105 HID721105 HRZ721105 IBV721105 ILR721105 IVN721105 JFJ721105 JPF721105 JZB721105 KIX721105 KST721105 LCP721105 LML721105 LWH721105 MGD721105 MPZ721105 MZV721105 NJR721105 NTN721105 ODJ721105 ONF721105 OXB721105 PGX721105 PQT721105 QAP721105 QKL721105 QUH721105 RED721105 RNZ721105 RXV721105 SHR721105 SRN721105 TBJ721105 TLF721105 TVB721105 UEX721105 UOT721105 UYP721105 VIL721105 VSH721105 WCD721105 WLZ721105 WVV721105 N786641 JJ786641 TF786641 ADB786641 AMX786641 AWT786641 BGP786641 BQL786641 CAH786641 CKD786641 CTZ786641 DDV786641 DNR786641 DXN786641 EHJ786641 ERF786641 FBB786641 FKX786641 FUT786641 GEP786641 GOL786641 GYH786641 HID786641 HRZ786641 IBV786641 ILR786641 IVN786641 JFJ786641 JPF786641 JZB786641 KIX786641 KST786641 LCP786641 LML786641 LWH786641 MGD786641 MPZ786641 MZV786641 NJR786641 NTN786641 ODJ786641 ONF786641 OXB786641 PGX786641 PQT786641 QAP786641 QKL786641 QUH786641 RED786641 RNZ786641 RXV786641 SHR786641 SRN786641 TBJ786641 TLF786641 TVB786641 UEX786641 UOT786641 UYP786641 VIL786641 VSH786641 WCD786641 WLZ786641 WVV786641 N852177 JJ852177 TF852177 ADB852177 AMX852177 AWT852177 BGP852177 BQL852177 CAH852177 CKD852177 CTZ852177 DDV852177 DNR852177 DXN852177 EHJ852177 ERF852177 FBB852177 FKX852177 FUT852177 GEP852177 GOL852177 GYH852177 HID852177 HRZ852177 IBV852177 ILR852177 IVN852177 JFJ852177 JPF852177 JZB852177 KIX852177 KST852177 LCP852177 LML852177 LWH852177 MGD852177 MPZ852177 MZV852177 NJR852177 NTN852177 ODJ852177 ONF852177 OXB852177 PGX852177 PQT852177 QAP852177 QKL852177 QUH852177 RED852177 RNZ852177 RXV852177 SHR852177 SRN852177 TBJ852177 TLF852177 TVB852177 UEX852177 UOT852177 UYP852177 VIL852177 VSH852177 WCD852177 WLZ852177 WVV852177 N917713 JJ917713 TF917713 ADB917713 AMX917713 AWT917713 BGP917713 BQL917713 CAH917713 CKD917713 CTZ917713 DDV917713 DNR917713 DXN917713 EHJ917713 ERF917713 FBB917713 FKX917713 FUT917713 GEP917713 GOL917713 GYH917713 HID917713 HRZ917713 IBV917713 ILR917713 IVN917713 JFJ917713 JPF917713 JZB917713 KIX917713 KST917713 LCP917713 LML917713 LWH917713 MGD917713 MPZ917713 MZV917713 NJR917713 NTN917713 ODJ917713 ONF917713 OXB917713 PGX917713 PQT917713 QAP917713 QKL917713 QUH917713 RED917713 RNZ917713 RXV917713 SHR917713 SRN917713 TBJ917713 TLF917713 TVB917713 UEX917713 UOT917713 UYP917713 VIL917713 VSH917713 WCD917713 WLZ917713 WVV917713 N983249 JJ983249 TF983249 ADB983249 AMX983249 AWT983249 BGP983249 BQL983249 CAH983249 CKD983249 CTZ983249 DDV983249 DNR983249 DXN983249 EHJ983249 ERF983249 FBB983249 FKX983249 FUT983249 GEP983249 GOL983249 GYH983249 HID983249 HRZ983249 IBV983249 ILR983249 IVN983249 JFJ983249 JPF983249 JZB983249 KIX983249 KST983249 LCP983249 LML983249 LWH983249 MGD983249 MPZ983249 MZV983249 NJR983249 NTN983249 ODJ983249 ONF983249 OXB983249 PGX983249 PQT983249 QAP983249 QKL983249 QUH983249 RED983249 RNZ983249 RXV983249 SHR983249 SRN983249 TBJ983249 TLF983249 TVB983249 UEX983249 UOT983249 UYP983249 VIL983249 VSH983249 WCD983249 WLZ983249 WVV983249 N211 JJ211 TF211 ADB211 AMX211 AWT211 BGP211 BQL211 CAH211 CKD211 CTZ211 DDV211 DNR211 DXN211 EHJ211 ERF211 FBB211 FKX211 FUT211 GEP211 GOL211 GYH211 HID211 HRZ211 IBV211 ILR211 IVN211 JFJ211 JPF211 JZB211 KIX211 KST211 LCP211 LML211 LWH211 MGD211 MPZ211 MZV211 NJR211 NTN211 ODJ211 ONF211 OXB211 PGX211 PQT211 QAP211 QKL211 QUH211 RED211 RNZ211 RXV211 SHR211 SRN211 TBJ211 TLF211 TVB211 UEX211 UOT211 UYP211 VIL211 VSH211 WCD211 WLZ211 WVV211 N65747 JJ65747 TF65747 ADB65747 AMX65747 AWT65747 BGP65747 BQL65747 CAH65747 CKD65747 CTZ65747 DDV65747 DNR65747 DXN65747 EHJ65747 ERF65747 FBB65747 FKX65747 FUT65747 GEP65747 GOL65747 GYH65747 HID65747 HRZ65747 IBV65747 ILR65747 IVN65747 JFJ65747 JPF65747 JZB65747 KIX65747 KST65747 LCP65747 LML65747 LWH65747 MGD65747 MPZ65747 MZV65747 NJR65747 NTN65747 ODJ65747 ONF65747 OXB65747 PGX65747 PQT65747 QAP65747 QKL65747 QUH65747 RED65747 RNZ65747 RXV65747 SHR65747 SRN65747 TBJ65747 TLF65747 TVB65747 UEX65747 UOT65747 UYP65747 VIL65747 VSH65747 WCD65747 WLZ65747 WVV65747 N131283 JJ131283 TF131283 ADB131283 AMX131283 AWT131283 BGP131283 BQL131283 CAH131283 CKD131283 CTZ131283 DDV131283 DNR131283 DXN131283 EHJ131283 ERF131283 FBB131283 FKX131283 FUT131283 GEP131283 GOL131283 GYH131283 HID131283 HRZ131283 IBV131283 ILR131283 IVN131283 JFJ131283 JPF131283 JZB131283 KIX131283 KST131283 LCP131283 LML131283 LWH131283 MGD131283 MPZ131283 MZV131283 NJR131283 NTN131283 ODJ131283 ONF131283 OXB131283 PGX131283 PQT131283 QAP131283 QKL131283 QUH131283 RED131283 RNZ131283 RXV131283 SHR131283 SRN131283 TBJ131283 TLF131283 TVB131283 UEX131283 UOT131283 UYP131283 VIL131283 VSH131283 WCD131283 WLZ131283 WVV131283 N196819 JJ196819 TF196819 ADB196819 AMX196819 AWT196819 BGP196819 BQL196819 CAH196819 CKD196819 CTZ196819 DDV196819 DNR196819 DXN196819 EHJ196819 ERF196819 FBB196819 FKX196819 FUT196819 GEP196819 GOL196819 GYH196819 HID196819 HRZ196819 IBV196819 ILR196819 IVN196819 JFJ196819 JPF196819 JZB196819 KIX196819 KST196819 LCP196819 LML196819 LWH196819 MGD196819 MPZ196819 MZV196819 NJR196819 NTN196819 ODJ196819 ONF196819 OXB196819 PGX196819 PQT196819 QAP196819 QKL196819 QUH196819 RED196819 RNZ196819 RXV196819 SHR196819 SRN196819 TBJ196819 TLF196819 TVB196819 UEX196819 UOT196819 UYP196819 VIL196819 VSH196819 WCD196819 WLZ196819 WVV196819 N262355 JJ262355 TF262355 ADB262355 AMX262355 AWT262355 BGP262355 BQL262355 CAH262355 CKD262355 CTZ262355 DDV262355 DNR262355 DXN262355 EHJ262355 ERF262355 FBB262355 FKX262355 FUT262355 GEP262355 GOL262355 GYH262355 HID262355 HRZ262355 IBV262355 ILR262355 IVN262355 JFJ262355 JPF262355 JZB262355 KIX262355 KST262355 LCP262355 LML262355 LWH262355 MGD262355 MPZ262355 MZV262355 NJR262355 NTN262355 ODJ262355 ONF262355 OXB262355 PGX262355 PQT262355 QAP262355 QKL262355 QUH262355 RED262355 RNZ262355 RXV262355 SHR262355 SRN262355 TBJ262355 TLF262355 TVB262355 UEX262355 UOT262355 UYP262355 VIL262355 VSH262355 WCD262355 WLZ262355 WVV262355 N327891 JJ327891 TF327891 ADB327891 AMX327891 AWT327891 BGP327891 BQL327891 CAH327891 CKD327891 CTZ327891 DDV327891 DNR327891 DXN327891 EHJ327891 ERF327891 FBB327891 FKX327891 FUT327891 GEP327891 GOL327891 GYH327891 HID327891 HRZ327891 IBV327891 ILR327891 IVN327891 JFJ327891 JPF327891 JZB327891 KIX327891 KST327891 LCP327891 LML327891 LWH327891 MGD327891 MPZ327891 MZV327891 NJR327891 NTN327891 ODJ327891 ONF327891 OXB327891 PGX327891 PQT327891 QAP327891 QKL327891 QUH327891 RED327891 RNZ327891 RXV327891 SHR327891 SRN327891 TBJ327891 TLF327891 TVB327891 UEX327891 UOT327891 UYP327891 VIL327891 VSH327891 WCD327891 WLZ327891 WVV327891 N393427 JJ393427 TF393427 ADB393427 AMX393427 AWT393427 BGP393427 BQL393427 CAH393427 CKD393427 CTZ393427 DDV393427 DNR393427 DXN393427 EHJ393427 ERF393427 FBB393427 FKX393427 FUT393427 GEP393427 GOL393427 GYH393427 HID393427 HRZ393427 IBV393427 ILR393427 IVN393427 JFJ393427 JPF393427 JZB393427 KIX393427 KST393427 LCP393427 LML393427 LWH393427 MGD393427 MPZ393427 MZV393427 NJR393427 NTN393427 ODJ393427 ONF393427 OXB393427 PGX393427 PQT393427 QAP393427 QKL393427 QUH393427 RED393427 RNZ393427 RXV393427 SHR393427 SRN393427 TBJ393427 TLF393427 TVB393427 UEX393427 UOT393427 UYP393427 VIL393427 VSH393427 WCD393427 WLZ393427 WVV393427 N458963 JJ458963 TF458963 ADB458963 AMX458963 AWT458963 BGP458963 BQL458963 CAH458963 CKD458963 CTZ458963 DDV458963 DNR458963 DXN458963 EHJ458963 ERF458963 FBB458963 FKX458963 FUT458963 GEP458963 GOL458963 GYH458963 HID458963 HRZ458963 IBV458963 ILR458963 IVN458963 JFJ458963 JPF458963 JZB458963 KIX458963 KST458963 LCP458963 LML458963 LWH458963 MGD458963 MPZ458963 MZV458963 NJR458963 NTN458963 ODJ458963 ONF458963 OXB458963 PGX458963 PQT458963 QAP458963 QKL458963 QUH458963 RED458963 RNZ458963 RXV458963 SHR458963 SRN458963 TBJ458963 TLF458963 TVB458963 UEX458963 UOT458963 UYP458963 VIL458963 VSH458963 WCD458963 WLZ458963 WVV458963 N524499 JJ524499 TF524499 ADB524499 AMX524499 AWT524499 BGP524499 BQL524499 CAH524499 CKD524499 CTZ524499 DDV524499 DNR524499 DXN524499 EHJ524499 ERF524499 FBB524499 FKX524499 FUT524499 GEP524499 GOL524499 GYH524499 HID524499 HRZ524499 IBV524499 ILR524499 IVN524499 JFJ524499 JPF524499 JZB524499 KIX524499 KST524499 LCP524499 LML524499 LWH524499 MGD524499 MPZ524499 MZV524499 NJR524499 NTN524499 ODJ524499 ONF524499 OXB524499 PGX524499 PQT524499 QAP524499 QKL524499 QUH524499 RED524499 RNZ524499 RXV524499 SHR524499 SRN524499 TBJ524499 TLF524499 TVB524499 UEX524499 UOT524499 UYP524499 VIL524499 VSH524499 WCD524499 WLZ524499 WVV524499 N590035 JJ590035 TF590035 ADB590035 AMX590035 AWT590035 BGP590035 BQL590035 CAH590035 CKD590035 CTZ590035 DDV590035 DNR590035 DXN590035 EHJ590035 ERF590035 FBB590035 FKX590035 FUT590035 GEP590035 GOL590035 GYH590035 HID590035 HRZ590035 IBV590035 ILR590035 IVN590035 JFJ590035 JPF590035 JZB590035 KIX590035 KST590035 LCP590035 LML590035 LWH590035 MGD590035 MPZ590035 MZV590035 NJR590035 NTN590035 ODJ590035 ONF590035 OXB590035 PGX590035 PQT590035 QAP590035 QKL590035 QUH590035 RED590035 RNZ590035 RXV590035 SHR590035 SRN590035 TBJ590035 TLF590035 TVB590035 UEX590035 UOT590035 UYP590035 VIL590035 VSH590035 WCD590035 WLZ590035 WVV590035 N655571 JJ655571 TF655571 ADB655571 AMX655571 AWT655571 BGP655571 BQL655571 CAH655571 CKD655571 CTZ655571 DDV655571 DNR655571 DXN655571 EHJ655571 ERF655571 FBB655571 FKX655571 FUT655571 GEP655571 GOL655571 GYH655571 HID655571 HRZ655571 IBV655571 ILR655571 IVN655571 JFJ655571 JPF655571 JZB655571 KIX655571 KST655571 LCP655571 LML655571 LWH655571 MGD655571 MPZ655571 MZV655571 NJR655571 NTN655571 ODJ655571 ONF655571 OXB655571 PGX655571 PQT655571 QAP655571 QKL655571 QUH655571 RED655571 RNZ655571 RXV655571 SHR655571 SRN655571 TBJ655571 TLF655571 TVB655571 UEX655571 UOT655571 UYP655571 VIL655571 VSH655571 WCD655571 WLZ655571 WVV655571 N721107 JJ721107 TF721107 ADB721107 AMX721107 AWT721107 BGP721107 BQL721107 CAH721107 CKD721107 CTZ721107 DDV721107 DNR721107 DXN721107 EHJ721107 ERF721107 FBB721107 FKX721107 FUT721107 GEP721107 GOL721107 GYH721107 HID721107 HRZ721107 IBV721107 ILR721107 IVN721107 JFJ721107 JPF721107 JZB721107 KIX721107 KST721107 LCP721107 LML721107 LWH721107 MGD721107 MPZ721107 MZV721107 NJR721107 NTN721107 ODJ721107 ONF721107 OXB721107 PGX721107 PQT721107 QAP721107 QKL721107 QUH721107 RED721107 RNZ721107 RXV721107 SHR721107 SRN721107 TBJ721107 TLF721107 TVB721107 UEX721107 UOT721107 UYP721107 VIL721107 VSH721107 WCD721107 WLZ721107 WVV721107 N786643 JJ786643 TF786643 ADB786643 AMX786643 AWT786643 BGP786643 BQL786643 CAH786643 CKD786643 CTZ786643 DDV786643 DNR786643 DXN786643 EHJ786643 ERF786643 FBB786643 FKX786643 FUT786643 GEP786643 GOL786643 GYH786643 HID786643 HRZ786643 IBV786643 ILR786643 IVN786643 JFJ786643 JPF786643 JZB786643 KIX786643 KST786643 LCP786643 LML786643 LWH786643 MGD786643 MPZ786643 MZV786643 NJR786643 NTN786643 ODJ786643 ONF786643 OXB786643 PGX786643 PQT786643 QAP786643 QKL786643 QUH786643 RED786643 RNZ786643 RXV786643 SHR786643 SRN786643 TBJ786643 TLF786643 TVB786643 UEX786643 UOT786643 UYP786643 VIL786643 VSH786643 WCD786643 WLZ786643 WVV786643 N852179 JJ852179 TF852179 ADB852179 AMX852179 AWT852179 BGP852179 BQL852179 CAH852179 CKD852179 CTZ852179 DDV852179 DNR852179 DXN852179 EHJ852179 ERF852179 FBB852179 FKX852179 FUT852179 GEP852179 GOL852179 GYH852179 HID852179 HRZ852179 IBV852179 ILR852179 IVN852179 JFJ852179 JPF852179 JZB852179 KIX852179 KST852179 LCP852179 LML852179 LWH852179 MGD852179 MPZ852179 MZV852179 NJR852179 NTN852179 ODJ852179 ONF852179 OXB852179 PGX852179 PQT852179 QAP852179 QKL852179 QUH852179 RED852179 RNZ852179 RXV852179 SHR852179 SRN852179 TBJ852179 TLF852179 TVB852179 UEX852179 UOT852179 UYP852179 VIL852179 VSH852179 WCD852179 WLZ852179 WVV852179 N917715 JJ917715 TF917715 ADB917715 AMX917715 AWT917715 BGP917715 BQL917715 CAH917715 CKD917715 CTZ917715 DDV917715 DNR917715 DXN917715 EHJ917715 ERF917715 FBB917715 FKX917715 FUT917715 GEP917715 GOL917715 GYH917715 HID917715 HRZ917715 IBV917715 ILR917715 IVN917715 JFJ917715 JPF917715 JZB917715 KIX917715 KST917715 LCP917715 LML917715 LWH917715 MGD917715 MPZ917715 MZV917715 NJR917715 NTN917715 ODJ917715 ONF917715 OXB917715 PGX917715 PQT917715 QAP917715 QKL917715 QUH917715 RED917715 RNZ917715 RXV917715 SHR917715 SRN917715 TBJ917715 TLF917715 TVB917715 UEX917715 UOT917715 UYP917715 VIL917715 VSH917715 WCD917715 WLZ917715 WVV917715 N983251 JJ983251 TF983251 ADB983251 AMX983251 AWT983251 BGP983251 BQL983251 CAH983251 CKD983251 CTZ983251 DDV983251 DNR983251 DXN983251 EHJ983251 ERF983251 FBB983251 FKX983251 FUT983251 GEP983251 GOL983251 GYH983251 HID983251 HRZ983251 IBV983251 ILR983251 IVN983251 JFJ983251 JPF983251 JZB983251 KIX983251 KST983251 LCP983251 LML983251 LWH983251 MGD983251 MPZ983251 MZV983251 NJR983251 NTN983251 ODJ983251 ONF983251 OXB983251 PGX983251 PQT983251 QAP983251 QKL983251 QUH983251 RED983251 RNZ983251 RXV983251 SHR983251 SRN983251 TBJ983251 TLF983251 TVB983251 UEX983251 UOT983251 UYP983251 VIL983251 VSH983251 WCD983251 WLZ983251 WVV983251 N215 JJ215 TF215 ADB215 AMX215 AWT215 BGP215 BQL215 CAH215 CKD215 CTZ215 DDV215 DNR215 DXN215 EHJ215 ERF215 FBB215 FKX215 FUT215 GEP215 GOL215 GYH215 HID215 HRZ215 IBV215 ILR215 IVN215 JFJ215 JPF215 JZB215 KIX215 KST215 LCP215 LML215 LWH215 MGD215 MPZ215 MZV215 NJR215 NTN215 ODJ215 ONF215 OXB215 PGX215 PQT215 QAP215 QKL215 QUH215 RED215 RNZ215 RXV215 SHR215 SRN215 TBJ215 TLF215 TVB215 UEX215 UOT215 UYP215 VIL215 VSH215 WCD215 WLZ215 WVV215 N65751 JJ65751 TF65751 ADB65751 AMX65751 AWT65751 BGP65751 BQL65751 CAH65751 CKD65751 CTZ65751 DDV65751 DNR65751 DXN65751 EHJ65751 ERF65751 FBB65751 FKX65751 FUT65751 GEP65751 GOL65751 GYH65751 HID65751 HRZ65751 IBV65751 ILR65751 IVN65751 JFJ65751 JPF65751 JZB65751 KIX65751 KST65751 LCP65751 LML65751 LWH65751 MGD65751 MPZ65751 MZV65751 NJR65751 NTN65751 ODJ65751 ONF65751 OXB65751 PGX65751 PQT65751 QAP65751 QKL65751 QUH65751 RED65751 RNZ65751 RXV65751 SHR65751 SRN65751 TBJ65751 TLF65751 TVB65751 UEX65751 UOT65751 UYP65751 VIL65751 VSH65751 WCD65751 WLZ65751 WVV65751 N131287 JJ131287 TF131287 ADB131287 AMX131287 AWT131287 BGP131287 BQL131287 CAH131287 CKD131287 CTZ131287 DDV131287 DNR131287 DXN131287 EHJ131287 ERF131287 FBB131287 FKX131287 FUT131287 GEP131287 GOL131287 GYH131287 HID131287 HRZ131287 IBV131287 ILR131287 IVN131287 JFJ131287 JPF131287 JZB131287 KIX131287 KST131287 LCP131287 LML131287 LWH131287 MGD131287 MPZ131287 MZV131287 NJR131287 NTN131287 ODJ131287 ONF131287 OXB131287 PGX131287 PQT131287 QAP131287 QKL131287 QUH131287 RED131287 RNZ131287 RXV131287 SHR131287 SRN131287 TBJ131287 TLF131287 TVB131287 UEX131287 UOT131287 UYP131287 VIL131287 VSH131287 WCD131287 WLZ131287 WVV131287 N196823 JJ196823 TF196823 ADB196823 AMX196823 AWT196823 BGP196823 BQL196823 CAH196823 CKD196823 CTZ196823 DDV196823 DNR196823 DXN196823 EHJ196823 ERF196823 FBB196823 FKX196823 FUT196823 GEP196823 GOL196823 GYH196823 HID196823 HRZ196823 IBV196823 ILR196823 IVN196823 JFJ196823 JPF196823 JZB196823 KIX196823 KST196823 LCP196823 LML196823 LWH196823 MGD196823 MPZ196823 MZV196823 NJR196823 NTN196823 ODJ196823 ONF196823 OXB196823 PGX196823 PQT196823 QAP196823 QKL196823 QUH196823 RED196823 RNZ196823 RXV196823 SHR196823 SRN196823 TBJ196823 TLF196823 TVB196823 UEX196823 UOT196823 UYP196823 VIL196823 VSH196823 WCD196823 WLZ196823 WVV196823 N262359 JJ262359 TF262359 ADB262359 AMX262359 AWT262359 BGP262359 BQL262359 CAH262359 CKD262359 CTZ262359 DDV262359 DNR262359 DXN262359 EHJ262359 ERF262359 FBB262359 FKX262359 FUT262359 GEP262359 GOL262359 GYH262359 HID262359 HRZ262359 IBV262359 ILR262359 IVN262359 JFJ262359 JPF262359 JZB262359 KIX262359 KST262359 LCP262359 LML262359 LWH262359 MGD262359 MPZ262359 MZV262359 NJR262359 NTN262359 ODJ262359 ONF262359 OXB262359 PGX262359 PQT262359 QAP262359 QKL262359 QUH262359 RED262359 RNZ262359 RXV262359 SHR262359 SRN262359 TBJ262359 TLF262359 TVB262359 UEX262359 UOT262359 UYP262359 VIL262359 VSH262359 WCD262359 WLZ262359 WVV262359 N327895 JJ327895 TF327895 ADB327895 AMX327895 AWT327895 BGP327895 BQL327895 CAH327895 CKD327895 CTZ327895 DDV327895 DNR327895 DXN327895 EHJ327895 ERF327895 FBB327895 FKX327895 FUT327895 GEP327895 GOL327895 GYH327895 HID327895 HRZ327895 IBV327895 ILR327895 IVN327895 JFJ327895 JPF327895 JZB327895 KIX327895 KST327895 LCP327895 LML327895 LWH327895 MGD327895 MPZ327895 MZV327895 NJR327895 NTN327895 ODJ327895 ONF327895 OXB327895 PGX327895 PQT327895 QAP327895 QKL327895 QUH327895 RED327895 RNZ327895 RXV327895 SHR327895 SRN327895 TBJ327895 TLF327895 TVB327895 UEX327895 UOT327895 UYP327895 VIL327895 VSH327895 WCD327895 WLZ327895 WVV327895 N393431 JJ393431 TF393431 ADB393431 AMX393431 AWT393431 BGP393431 BQL393431 CAH393431 CKD393431 CTZ393431 DDV393431 DNR393431 DXN393431 EHJ393431 ERF393431 FBB393431 FKX393431 FUT393431 GEP393431 GOL393431 GYH393431 HID393431 HRZ393431 IBV393431 ILR393431 IVN393431 JFJ393431 JPF393431 JZB393431 KIX393431 KST393431 LCP393431 LML393431 LWH393431 MGD393431 MPZ393431 MZV393431 NJR393431 NTN393431 ODJ393431 ONF393431 OXB393431 PGX393431 PQT393431 QAP393431 QKL393431 QUH393431 RED393431 RNZ393431 RXV393431 SHR393431 SRN393431 TBJ393431 TLF393431 TVB393431 UEX393431 UOT393431 UYP393431 VIL393431 VSH393431 WCD393431 WLZ393431 WVV393431 N458967 JJ458967 TF458967 ADB458967 AMX458967 AWT458967 BGP458967 BQL458967 CAH458967 CKD458967 CTZ458967 DDV458967 DNR458967 DXN458967 EHJ458967 ERF458967 FBB458967 FKX458967 FUT458967 GEP458967 GOL458967 GYH458967 HID458967 HRZ458967 IBV458967 ILR458967 IVN458967 JFJ458967 JPF458967 JZB458967 KIX458967 KST458967 LCP458967 LML458967 LWH458967 MGD458967 MPZ458967 MZV458967 NJR458967 NTN458967 ODJ458967 ONF458967 OXB458967 PGX458967 PQT458967 QAP458967 QKL458967 QUH458967 RED458967 RNZ458967 RXV458967 SHR458967 SRN458967 TBJ458967 TLF458967 TVB458967 UEX458967 UOT458967 UYP458967 VIL458967 VSH458967 WCD458967 WLZ458967 WVV458967 N524503 JJ524503 TF524503 ADB524503 AMX524503 AWT524503 BGP524503 BQL524503 CAH524503 CKD524503 CTZ524503 DDV524503 DNR524503 DXN524503 EHJ524503 ERF524503 FBB524503 FKX524503 FUT524503 GEP524503 GOL524503 GYH524503 HID524503 HRZ524503 IBV524503 ILR524503 IVN524503 JFJ524503 JPF524503 JZB524503 KIX524503 KST524503 LCP524503 LML524503 LWH524503 MGD524503 MPZ524503 MZV524503 NJR524503 NTN524503 ODJ524503 ONF524503 OXB524503 PGX524503 PQT524503 QAP524503 QKL524503 QUH524503 RED524503 RNZ524503 RXV524503 SHR524503 SRN524503 TBJ524503 TLF524503 TVB524503 UEX524503 UOT524503 UYP524503 VIL524503 VSH524503 WCD524503 WLZ524503 WVV524503 N590039 JJ590039 TF590039 ADB590039 AMX590039 AWT590039 BGP590039 BQL590039 CAH590039 CKD590039 CTZ590039 DDV590039 DNR590039 DXN590039 EHJ590039 ERF590039 FBB590039 FKX590039 FUT590039 GEP590039 GOL590039 GYH590039 HID590039 HRZ590039 IBV590039 ILR590039 IVN590039 JFJ590039 JPF590039 JZB590039 KIX590039 KST590039 LCP590039 LML590039 LWH590039 MGD590039 MPZ590039 MZV590039 NJR590039 NTN590039 ODJ590039 ONF590039 OXB590039 PGX590039 PQT590039 QAP590039 QKL590039 QUH590039 RED590039 RNZ590039 RXV590039 SHR590039 SRN590039 TBJ590039 TLF590039 TVB590039 UEX590039 UOT590039 UYP590039 VIL590039 VSH590039 WCD590039 WLZ590039 WVV590039 N655575 JJ655575 TF655575 ADB655575 AMX655575 AWT655575 BGP655575 BQL655575 CAH655575 CKD655575 CTZ655575 DDV655575 DNR655575 DXN655575 EHJ655575 ERF655575 FBB655575 FKX655575 FUT655575 GEP655575 GOL655575 GYH655575 HID655575 HRZ655575 IBV655575 ILR655575 IVN655575 JFJ655575 JPF655575 JZB655575 KIX655575 KST655575 LCP655575 LML655575 LWH655575 MGD655575 MPZ655575 MZV655575 NJR655575 NTN655575 ODJ655575 ONF655575 OXB655575 PGX655575 PQT655575 QAP655575 QKL655575 QUH655575 RED655575 RNZ655575 RXV655575 SHR655575 SRN655575 TBJ655575 TLF655575 TVB655575 UEX655575 UOT655575 UYP655575 VIL655575 VSH655575 WCD655575 WLZ655575 WVV655575 N721111 JJ721111 TF721111 ADB721111 AMX721111 AWT721111 BGP721111 BQL721111 CAH721111 CKD721111 CTZ721111 DDV721111 DNR721111 DXN721111 EHJ721111 ERF721111 FBB721111 FKX721111 FUT721111 GEP721111 GOL721111 GYH721111 HID721111 HRZ721111 IBV721111 ILR721111 IVN721111 JFJ721111 JPF721111 JZB721111 KIX721111 KST721111 LCP721111 LML721111 LWH721111 MGD721111 MPZ721111 MZV721111 NJR721111 NTN721111 ODJ721111 ONF721111 OXB721111 PGX721111 PQT721111 QAP721111 QKL721111 QUH721111 RED721111 RNZ721111 RXV721111 SHR721111 SRN721111 TBJ721111 TLF721111 TVB721111 UEX721111 UOT721111 UYP721111 VIL721111 VSH721111 WCD721111 WLZ721111 WVV721111 N786647 JJ786647 TF786647 ADB786647 AMX786647 AWT786647 BGP786647 BQL786647 CAH786647 CKD786647 CTZ786647 DDV786647 DNR786647 DXN786647 EHJ786647 ERF786647 FBB786647 FKX786647 FUT786647 GEP786647 GOL786647 GYH786647 HID786647 HRZ786647 IBV786647 ILR786647 IVN786647 JFJ786647 JPF786647 JZB786647 KIX786647 KST786647 LCP786647 LML786647 LWH786647 MGD786647 MPZ786647 MZV786647 NJR786647 NTN786647 ODJ786647 ONF786647 OXB786647 PGX786647 PQT786647 QAP786647 QKL786647 QUH786647 RED786647 RNZ786647 RXV786647 SHR786647 SRN786647 TBJ786647 TLF786647 TVB786647 UEX786647 UOT786647 UYP786647 VIL786647 VSH786647 WCD786647 WLZ786647 WVV786647 N852183 JJ852183 TF852183 ADB852183 AMX852183 AWT852183 BGP852183 BQL852183 CAH852183 CKD852183 CTZ852183 DDV852183 DNR852183 DXN852183 EHJ852183 ERF852183 FBB852183 FKX852183 FUT852183 GEP852183 GOL852183 GYH852183 HID852183 HRZ852183 IBV852183 ILR852183 IVN852183 JFJ852183 JPF852183 JZB852183 KIX852183 KST852183 LCP852183 LML852183 LWH852183 MGD852183 MPZ852183 MZV852183 NJR852183 NTN852183 ODJ852183 ONF852183 OXB852183 PGX852183 PQT852183 QAP852183 QKL852183 QUH852183 RED852183 RNZ852183 RXV852183 SHR852183 SRN852183 TBJ852183 TLF852183 TVB852183 UEX852183 UOT852183 UYP852183 VIL852183 VSH852183 WCD852183 WLZ852183 WVV852183 N917719 JJ917719 TF917719 ADB917719 AMX917719 AWT917719 BGP917719 BQL917719 CAH917719 CKD917719 CTZ917719 DDV917719 DNR917719 DXN917719 EHJ917719 ERF917719 FBB917719 FKX917719 FUT917719 GEP917719 GOL917719 GYH917719 HID917719 HRZ917719 IBV917719 ILR917719 IVN917719 JFJ917719 JPF917719 JZB917719 KIX917719 KST917719 LCP917719 LML917719 LWH917719 MGD917719 MPZ917719 MZV917719 NJR917719 NTN917719 ODJ917719 ONF917719 OXB917719 PGX917719 PQT917719 QAP917719 QKL917719 QUH917719 RED917719 RNZ917719 RXV917719 SHR917719 SRN917719 TBJ917719 TLF917719 TVB917719 UEX917719 UOT917719 UYP917719 VIL917719 VSH917719 WCD917719 WLZ917719 WVV917719 N983255 JJ983255 TF983255 ADB983255 AMX983255 AWT983255 BGP983255 BQL983255 CAH983255 CKD983255 CTZ983255 DDV983255 DNR983255 DXN983255 EHJ983255 ERF983255 FBB983255 FKX983255 FUT983255 GEP983255 GOL983255 GYH983255 HID983255 HRZ983255 IBV983255 ILR983255 IVN983255 JFJ983255 JPF983255 JZB983255 KIX983255 KST983255 LCP983255 LML983255 LWH983255 MGD983255 MPZ983255 MZV983255 NJR983255 NTN983255 ODJ983255 ONF983255 OXB983255 PGX983255 PQT983255 QAP983255 QKL983255 QUH983255 RED983255 RNZ983255 RXV983255 SHR983255 SRN983255 TBJ983255 TLF983255 TVB983255 UEX983255 UOT983255 UYP983255 VIL983255 VSH983255 WCD983255 WLZ983255 WVV983255 N213 JJ213 TF213 ADB213 AMX213 AWT213 BGP213 BQL213 CAH213 CKD213 CTZ213 DDV213 DNR213 DXN213 EHJ213 ERF213 FBB213 FKX213 FUT213 GEP213 GOL213 GYH213 HID213 HRZ213 IBV213 ILR213 IVN213 JFJ213 JPF213 JZB213 KIX213 KST213 LCP213 LML213 LWH213 MGD213 MPZ213 MZV213 NJR213 NTN213 ODJ213 ONF213 OXB213 PGX213 PQT213 QAP213 QKL213 QUH213 RED213 RNZ213 RXV213 SHR213 SRN213 TBJ213 TLF213 TVB213 UEX213 UOT213 UYP213 VIL213 VSH213 WCD213 WLZ213 WVV213 N65749 JJ65749 TF65749 ADB65749 AMX65749 AWT65749 BGP65749 BQL65749 CAH65749 CKD65749 CTZ65749 DDV65749 DNR65749 DXN65749 EHJ65749 ERF65749 FBB65749 FKX65749 FUT65749 GEP65749 GOL65749 GYH65749 HID65749 HRZ65749 IBV65749 ILR65749 IVN65749 JFJ65749 JPF65749 JZB65749 KIX65749 KST65749 LCP65749 LML65749 LWH65749 MGD65749 MPZ65749 MZV65749 NJR65749 NTN65749 ODJ65749 ONF65749 OXB65749 PGX65749 PQT65749 QAP65749 QKL65749 QUH65749 RED65749 RNZ65749 RXV65749 SHR65749 SRN65749 TBJ65749 TLF65749 TVB65749 UEX65749 UOT65749 UYP65749 VIL65749 VSH65749 WCD65749 WLZ65749 WVV65749 N131285 JJ131285 TF131285 ADB131285 AMX131285 AWT131285 BGP131285 BQL131285 CAH131285 CKD131285 CTZ131285 DDV131285 DNR131285 DXN131285 EHJ131285 ERF131285 FBB131285 FKX131285 FUT131285 GEP131285 GOL131285 GYH131285 HID131285 HRZ131285 IBV131285 ILR131285 IVN131285 JFJ131285 JPF131285 JZB131285 KIX131285 KST131285 LCP131285 LML131285 LWH131285 MGD131285 MPZ131285 MZV131285 NJR131285 NTN131285 ODJ131285 ONF131285 OXB131285 PGX131285 PQT131285 QAP131285 QKL131285 QUH131285 RED131285 RNZ131285 RXV131285 SHR131285 SRN131285 TBJ131285 TLF131285 TVB131285 UEX131285 UOT131285 UYP131285 VIL131285 VSH131285 WCD131285 WLZ131285 WVV131285 N196821 JJ196821 TF196821 ADB196821 AMX196821 AWT196821 BGP196821 BQL196821 CAH196821 CKD196821 CTZ196821 DDV196821 DNR196821 DXN196821 EHJ196821 ERF196821 FBB196821 FKX196821 FUT196821 GEP196821 GOL196821 GYH196821 HID196821 HRZ196821 IBV196821 ILR196821 IVN196821 JFJ196821 JPF196821 JZB196821 KIX196821 KST196821 LCP196821 LML196821 LWH196821 MGD196821 MPZ196821 MZV196821 NJR196821 NTN196821 ODJ196821 ONF196821 OXB196821 PGX196821 PQT196821 QAP196821 QKL196821 QUH196821 RED196821 RNZ196821 RXV196821 SHR196821 SRN196821 TBJ196821 TLF196821 TVB196821 UEX196821 UOT196821 UYP196821 VIL196821 VSH196821 WCD196821 WLZ196821 WVV196821 N262357 JJ262357 TF262357 ADB262357 AMX262357 AWT262357 BGP262357 BQL262357 CAH262357 CKD262357 CTZ262357 DDV262357 DNR262357 DXN262357 EHJ262357 ERF262357 FBB262357 FKX262357 FUT262357 GEP262357 GOL262357 GYH262357 HID262357 HRZ262357 IBV262357 ILR262357 IVN262357 JFJ262357 JPF262357 JZB262357 KIX262357 KST262357 LCP262357 LML262357 LWH262357 MGD262357 MPZ262357 MZV262357 NJR262357 NTN262357 ODJ262357 ONF262357 OXB262357 PGX262357 PQT262357 QAP262357 QKL262357 QUH262357 RED262357 RNZ262357 RXV262357 SHR262357 SRN262357 TBJ262357 TLF262357 TVB262357 UEX262357 UOT262357 UYP262357 VIL262357 VSH262357 WCD262357 WLZ262357 WVV262357 N327893 JJ327893 TF327893 ADB327893 AMX327893 AWT327893 BGP327893 BQL327893 CAH327893 CKD327893 CTZ327893 DDV327893 DNR327893 DXN327893 EHJ327893 ERF327893 FBB327893 FKX327893 FUT327893 GEP327893 GOL327893 GYH327893 HID327893 HRZ327893 IBV327893 ILR327893 IVN327893 JFJ327893 JPF327893 JZB327893 KIX327893 KST327893 LCP327893 LML327893 LWH327893 MGD327893 MPZ327893 MZV327893 NJR327893 NTN327893 ODJ327893 ONF327893 OXB327893 PGX327893 PQT327893 QAP327893 QKL327893 QUH327893 RED327893 RNZ327893 RXV327893 SHR327893 SRN327893 TBJ327893 TLF327893 TVB327893 UEX327893 UOT327893 UYP327893 VIL327893 VSH327893 WCD327893 WLZ327893 WVV327893 N393429 JJ393429 TF393429 ADB393429 AMX393429 AWT393429 BGP393429 BQL393429 CAH393429 CKD393429 CTZ393429 DDV393429 DNR393429 DXN393429 EHJ393429 ERF393429 FBB393429 FKX393429 FUT393429 GEP393429 GOL393429 GYH393429 HID393429 HRZ393429 IBV393429 ILR393429 IVN393429 JFJ393429 JPF393429 JZB393429 KIX393429 KST393429 LCP393429 LML393429 LWH393429 MGD393429 MPZ393429 MZV393429 NJR393429 NTN393429 ODJ393429 ONF393429 OXB393429 PGX393429 PQT393429 QAP393429 QKL393429 QUH393429 RED393429 RNZ393429 RXV393429 SHR393429 SRN393429 TBJ393429 TLF393429 TVB393429 UEX393429 UOT393429 UYP393429 VIL393429 VSH393429 WCD393429 WLZ393429 WVV393429 N458965 JJ458965 TF458965 ADB458965 AMX458965 AWT458965 BGP458965 BQL458965 CAH458965 CKD458965 CTZ458965 DDV458965 DNR458965 DXN458965 EHJ458965 ERF458965 FBB458965 FKX458965 FUT458965 GEP458965 GOL458965 GYH458965 HID458965 HRZ458965 IBV458965 ILR458965 IVN458965 JFJ458965 JPF458965 JZB458965 KIX458965 KST458965 LCP458965 LML458965 LWH458965 MGD458965 MPZ458965 MZV458965 NJR458965 NTN458965 ODJ458965 ONF458965 OXB458965 PGX458965 PQT458965 QAP458965 QKL458965 QUH458965 RED458965 RNZ458965 RXV458965 SHR458965 SRN458965 TBJ458965 TLF458965 TVB458965 UEX458965 UOT458965 UYP458965 VIL458965 VSH458965 WCD458965 WLZ458965 WVV458965 N524501 JJ524501 TF524501 ADB524501 AMX524501 AWT524501 BGP524501 BQL524501 CAH524501 CKD524501 CTZ524501 DDV524501 DNR524501 DXN524501 EHJ524501 ERF524501 FBB524501 FKX524501 FUT524501 GEP524501 GOL524501 GYH524501 HID524501 HRZ524501 IBV524501 ILR524501 IVN524501 JFJ524501 JPF524501 JZB524501 KIX524501 KST524501 LCP524501 LML524501 LWH524501 MGD524501 MPZ524501 MZV524501 NJR524501 NTN524501 ODJ524501 ONF524501 OXB524501 PGX524501 PQT524501 QAP524501 QKL524501 QUH524501 RED524501 RNZ524501 RXV524501 SHR524501 SRN524501 TBJ524501 TLF524501 TVB524501 UEX524501 UOT524501 UYP524501 VIL524501 VSH524501 WCD524501 WLZ524501 WVV524501 N590037 JJ590037 TF590037 ADB590037 AMX590037 AWT590037 BGP590037 BQL590037 CAH590037 CKD590037 CTZ590037 DDV590037 DNR590037 DXN590037 EHJ590037 ERF590037 FBB590037 FKX590037 FUT590037 GEP590037 GOL590037 GYH590037 HID590037 HRZ590037 IBV590037 ILR590037 IVN590037 JFJ590037 JPF590037 JZB590037 KIX590037 KST590037 LCP590037 LML590037 LWH590037 MGD590037 MPZ590037 MZV590037 NJR590037 NTN590037 ODJ590037 ONF590037 OXB590037 PGX590037 PQT590037 QAP590037 QKL590037 QUH590037 RED590037 RNZ590037 RXV590037 SHR590037 SRN590037 TBJ590037 TLF590037 TVB590037 UEX590037 UOT590037 UYP590037 VIL590037 VSH590037 WCD590037 WLZ590037 WVV590037 N655573 JJ655573 TF655573 ADB655573 AMX655573 AWT655573 BGP655573 BQL655573 CAH655573 CKD655573 CTZ655573 DDV655573 DNR655573 DXN655573 EHJ655573 ERF655573 FBB655573 FKX655573 FUT655573 GEP655573 GOL655573 GYH655573 HID655573 HRZ655573 IBV655573 ILR655573 IVN655573 JFJ655573 JPF655573 JZB655573 KIX655573 KST655573 LCP655573 LML655573 LWH655573 MGD655573 MPZ655573 MZV655573 NJR655573 NTN655573 ODJ655573 ONF655573 OXB655573 PGX655573 PQT655573 QAP655573 QKL655573 QUH655573 RED655573 RNZ655573 RXV655573 SHR655573 SRN655573 TBJ655573 TLF655573 TVB655573 UEX655573 UOT655573 UYP655573 VIL655573 VSH655573 WCD655573 WLZ655573 WVV655573 N721109 JJ721109 TF721109 ADB721109 AMX721109 AWT721109 BGP721109 BQL721109 CAH721109 CKD721109 CTZ721109 DDV721109 DNR721109 DXN721109 EHJ721109 ERF721109 FBB721109 FKX721109 FUT721109 GEP721109 GOL721109 GYH721109 HID721109 HRZ721109 IBV721109 ILR721109 IVN721109 JFJ721109 JPF721109 JZB721109 KIX721109 KST721109 LCP721109 LML721109 LWH721109 MGD721109 MPZ721109 MZV721109 NJR721109 NTN721109 ODJ721109 ONF721109 OXB721109 PGX721109 PQT721109 QAP721109 QKL721109 QUH721109 RED721109 RNZ721109 RXV721109 SHR721109 SRN721109 TBJ721109 TLF721109 TVB721109 UEX721109 UOT721109 UYP721109 VIL721109 VSH721109 WCD721109 WLZ721109 WVV721109 N786645 JJ786645 TF786645 ADB786645 AMX786645 AWT786645 BGP786645 BQL786645 CAH786645 CKD786645 CTZ786645 DDV786645 DNR786645 DXN786645 EHJ786645 ERF786645 FBB786645 FKX786645 FUT786645 GEP786645 GOL786645 GYH786645 HID786645 HRZ786645 IBV786645 ILR786645 IVN786645 JFJ786645 JPF786645 JZB786645 KIX786645 KST786645 LCP786645 LML786645 LWH786645 MGD786645 MPZ786645 MZV786645 NJR786645 NTN786645 ODJ786645 ONF786645 OXB786645 PGX786645 PQT786645 QAP786645 QKL786645 QUH786645 RED786645 RNZ786645 RXV786645 SHR786645 SRN786645 TBJ786645 TLF786645 TVB786645 UEX786645 UOT786645 UYP786645 VIL786645 VSH786645 WCD786645 WLZ786645 WVV786645 N852181 JJ852181 TF852181 ADB852181 AMX852181 AWT852181 BGP852181 BQL852181 CAH852181 CKD852181 CTZ852181 DDV852181 DNR852181 DXN852181 EHJ852181 ERF852181 FBB852181 FKX852181 FUT852181 GEP852181 GOL852181 GYH852181 HID852181 HRZ852181 IBV852181 ILR852181 IVN852181 JFJ852181 JPF852181 JZB852181 KIX852181 KST852181 LCP852181 LML852181 LWH852181 MGD852181 MPZ852181 MZV852181 NJR852181 NTN852181 ODJ852181 ONF852181 OXB852181 PGX852181 PQT852181 QAP852181 QKL852181 QUH852181 RED852181 RNZ852181 RXV852181 SHR852181 SRN852181 TBJ852181 TLF852181 TVB852181 UEX852181 UOT852181 UYP852181 VIL852181 VSH852181 WCD852181 WLZ852181 WVV852181 N917717 JJ917717 TF917717 ADB917717 AMX917717 AWT917717 BGP917717 BQL917717 CAH917717 CKD917717 CTZ917717 DDV917717 DNR917717 DXN917717 EHJ917717 ERF917717 FBB917717 FKX917717 FUT917717 GEP917717 GOL917717 GYH917717 HID917717 HRZ917717 IBV917717 ILR917717 IVN917717 JFJ917717 JPF917717 JZB917717 KIX917717 KST917717 LCP917717 LML917717 LWH917717 MGD917717 MPZ917717 MZV917717 NJR917717 NTN917717 ODJ917717 ONF917717 OXB917717 PGX917717 PQT917717 QAP917717 QKL917717 QUH917717 RED917717 RNZ917717 RXV917717 SHR917717 SRN917717 TBJ917717 TLF917717 TVB917717 UEX917717 UOT917717 UYP917717 VIL917717 VSH917717 WCD917717 WLZ917717 WVV917717 N983253 JJ983253 TF983253 ADB983253 AMX983253 AWT983253 BGP983253 BQL983253 CAH983253 CKD983253 CTZ983253 DDV983253 DNR983253 DXN983253 EHJ983253 ERF983253 FBB983253 FKX983253 FUT983253 GEP983253 GOL983253 GYH983253 HID983253 HRZ983253 IBV983253 ILR983253 IVN983253 JFJ983253 JPF983253 JZB983253 KIX983253 KST983253 LCP983253 LML983253 LWH983253 MGD983253 MPZ983253 MZV983253 NJR983253 NTN983253 ODJ983253 ONF983253 OXB983253 PGX983253 PQT983253 QAP983253 QKL983253 QUH983253 RED983253 RNZ983253 RXV983253 SHR983253 SRN983253 TBJ983253 TLF983253 TVB983253 UEX983253 UOT983253 UYP983253 VIL983253 VSH983253 WCD983253 WLZ983253 WVV983253 N193:N194 JJ193:JJ194 TF193:TF194 ADB193:ADB194 AMX193:AMX194 AWT193:AWT194 BGP193:BGP194 BQL193:BQL194 CAH193:CAH194 CKD193:CKD194 CTZ193:CTZ194 DDV193:DDV194 DNR193:DNR194 DXN193:DXN194 EHJ193:EHJ194 ERF193:ERF194 FBB193:FBB194 FKX193:FKX194 FUT193:FUT194 GEP193:GEP194 GOL193:GOL194 GYH193:GYH194 HID193:HID194 HRZ193:HRZ194 IBV193:IBV194 ILR193:ILR194 IVN193:IVN194 JFJ193:JFJ194 JPF193:JPF194 JZB193:JZB194 KIX193:KIX194 KST193:KST194 LCP193:LCP194 LML193:LML194 LWH193:LWH194 MGD193:MGD194 MPZ193:MPZ194 MZV193:MZV194 NJR193:NJR194 NTN193:NTN194 ODJ193:ODJ194 ONF193:ONF194 OXB193:OXB194 PGX193:PGX194 PQT193:PQT194 QAP193:QAP194 QKL193:QKL194 QUH193:QUH194 RED193:RED194 RNZ193:RNZ194 RXV193:RXV194 SHR193:SHR194 SRN193:SRN194 TBJ193:TBJ194 TLF193:TLF194 TVB193:TVB194 UEX193:UEX194 UOT193:UOT194 UYP193:UYP194 VIL193:VIL194 VSH193:VSH194 WCD193:WCD194 WLZ193:WLZ194 WVV193:WVV194 N65729:N65730 JJ65729:JJ65730 TF65729:TF65730 ADB65729:ADB65730 AMX65729:AMX65730 AWT65729:AWT65730 BGP65729:BGP65730 BQL65729:BQL65730 CAH65729:CAH65730 CKD65729:CKD65730 CTZ65729:CTZ65730 DDV65729:DDV65730 DNR65729:DNR65730 DXN65729:DXN65730 EHJ65729:EHJ65730 ERF65729:ERF65730 FBB65729:FBB65730 FKX65729:FKX65730 FUT65729:FUT65730 GEP65729:GEP65730 GOL65729:GOL65730 GYH65729:GYH65730 HID65729:HID65730 HRZ65729:HRZ65730 IBV65729:IBV65730 ILR65729:ILR65730 IVN65729:IVN65730 JFJ65729:JFJ65730 JPF65729:JPF65730 JZB65729:JZB65730 KIX65729:KIX65730 KST65729:KST65730 LCP65729:LCP65730 LML65729:LML65730 LWH65729:LWH65730 MGD65729:MGD65730 MPZ65729:MPZ65730 MZV65729:MZV65730 NJR65729:NJR65730 NTN65729:NTN65730 ODJ65729:ODJ65730 ONF65729:ONF65730 OXB65729:OXB65730 PGX65729:PGX65730 PQT65729:PQT65730 QAP65729:QAP65730 QKL65729:QKL65730 QUH65729:QUH65730 RED65729:RED65730 RNZ65729:RNZ65730 RXV65729:RXV65730 SHR65729:SHR65730 SRN65729:SRN65730 TBJ65729:TBJ65730 TLF65729:TLF65730 TVB65729:TVB65730 UEX65729:UEX65730 UOT65729:UOT65730 UYP65729:UYP65730 VIL65729:VIL65730 VSH65729:VSH65730 WCD65729:WCD65730 WLZ65729:WLZ65730 WVV65729:WVV65730 N131265:N131266 JJ131265:JJ131266 TF131265:TF131266 ADB131265:ADB131266 AMX131265:AMX131266 AWT131265:AWT131266 BGP131265:BGP131266 BQL131265:BQL131266 CAH131265:CAH131266 CKD131265:CKD131266 CTZ131265:CTZ131266 DDV131265:DDV131266 DNR131265:DNR131266 DXN131265:DXN131266 EHJ131265:EHJ131266 ERF131265:ERF131266 FBB131265:FBB131266 FKX131265:FKX131266 FUT131265:FUT131266 GEP131265:GEP131266 GOL131265:GOL131266 GYH131265:GYH131266 HID131265:HID131266 HRZ131265:HRZ131266 IBV131265:IBV131266 ILR131265:ILR131266 IVN131265:IVN131266 JFJ131265:JFJ131266 JPF131265:JPF131266 JZB131265:JZB131266 KIX131265:KIX131266 KST131265:KST131266 LCP131265:LCP131266 LML131265:LML131266 LWH131265:LWH131266 MGD131265:MGD131266 MPZ131265:MPZ131266 MZV131265:MZV131266 NJR131265:NJR131266 NTN131265:NTN131266 ODJ131265:ODJ131266 ONF131265:ONF131266 OXB131265:OXB131266 PGX131265:PGX131266 PQT131265:PQT131266 QAP131265:QAP131266 QKL131265:QKL131266 QUH131265:QUH131266 RED131265:RED131266 RNZ131265:RNZ131266 RXV131265:RXV131266 SHR131265:SHR131266 SRN131265:SRN131266 TBJ131265:TBJ131266 TLF131265:TLF131266 TVB131265:TVB131266 UEX131265:UEX131266 UOT131265:UOT131266 UYP131265:UYP131266 VIL131265:VIL131266 VSH131265:VSH131266 WCD131265:WCD131266 WLZ131265:WLZ131266 WVV131265:WVV131266 N196801:N196802 JJ196801:JJ196802 TF196801:TF196802 ADB196801:ADB196802 AMX196801:AMX196802 AWT196801:AWT196802 BGP196801:BGP196802 BQL196801:BQL196802 CAH196801:CAH196802 CKD196801:CKD196802 CTZ196801:CTZ196802 DDV196801:DDV196802 DNR196801:DNR196802 DXN196801:DXN196802 EHJ196801:EHJ196802 ERF196801:ERF196802 FBB196801:FBB196802 FKX196801:FKX196802 FUT196801:FUT196802 GEP196801:GEP196802 GOL196801:GOL196802 GYH196801:GYH196802 HID196801:HID196802 HRZ196801:HRZ196802 IBV196801:IBV196802 ILR196801:ILR196802 IVN196801:IVN196802 JFJ196801:JFJ196802 JPF196801:JPF196802 JZB196801:JZB196802 KIX196801:KIX196802 KST196801:KST196802 LCP196801:LCP196802 LML196801:LML196802 LWH196801:LWH196802 MGD196801:MGD196802 MPZ196801:MPZ196802 MZV196801:MZV196802 NJR196801:NJR196802 NTN196801:NTN196802 ODJ196801:ODJ196802 ONF196801:ONF196802 OXB196801:OXB196802 PGX196801:PGX196802 PQT196801:PQT196802 QAP196801:QAP196802 QKL196801:QKL196802 QUH196801:QUH196802 RED196801:RED196802 RNZ196801:RNZ196802 RXV196801:RXV196802 SHR196801:SHR196802 SRN196801:SRN196802 TBJ196801:TBJ196802 TLF196801:TLF196802 TVB196801:TVB196802 UEX196801:UEX196802 UOT196801:UOT196802 UYP196801:UYP196802 VIL196801:VIL196802 VSH196801:VSH196802 WCD196801:WCD196802 WLZ196801:WLZ196802 WVV196801:WVV196802 N262337:N262338 JJ262337:JJ262338 TF262337:TF262338 ADB262337:ADB262338 AMX262337:AMX262338 AWT262337:AWT262338 BGP262337:BGP262338 BQL262337:BQL262338 CAH262337:CAH262338 CKD262337:CKD262338 CTZ262337:CTZ262338 DDV262337:DDV262338 DNR262337:DNR262338 DXN262337:DXN262338 EHJ262337:EHJ262338 ERF262337:ERF262338 FBB262337:FBB262338 FKX262337:FKX262338 FUT262337:FUT262338 GEP262337:GEP262338 GOL262337:GOL262338 GYH262337:GYH262338 HID262337:HID262338 HRZ262337:HRZ262338 IBV262337:IBV262338 ILR262337:ILR262338 IVN262337:IVN262338 JFJ262337:JFJ262338 JPF262337:JPF262338 JZB262337:JZB262338 KIX262337:KIX262338 KST262337:KST262338 LCP262337:LCP262338 LML262337:LML262338 LWH262337:LWH262338 MGD262337:MGD262338 MPZ262337:MPZ262338 MZV262337:MZV262338 NJR262337:NJR262338 NTN262337:NTN262338 ODJ262337:ODJ262338 ONF262337:ONF262338 OXB262337:OXB262338 PGX262337:PGX262338 PQT262337:PQT262338 QAP262337:QAP262338 QKL262337:QKL262338 QUH262337:QUH262338 RED262337:RED262338 RNZ262337:RNZ262338 RXV262337:RXV262338 SHR262337:SHR262338 SRN262337:SRN262338 TBJ262337:TBJ262338 TLF262337:TLF262338 TVB262337:TVB262338 UEX262337:UEX262338 UOT262337:UOT262338 UYP262337:UYP262338 VIL262337:VIL262338 VSH262337:VSH262338 WCD262337:WCD262338 WLZ262337:WLZ262338 WVV262337:WVV262338 N327873:N327874 JJ327873:JJ327874 TF327873:TF327874 ADB327873:ADB327874 AMX327873:AMX327874 AWT327873:AWT327874 BGP327873:BGP327874 BQL327873:BQL327874 CAH327873:CAH327874 CKD327873:CKD327874 CTZ327873:CTZ327874 DDV327873:DDV327874 DNR327873:DNR327874 DXN327873:DXN327874 EHJ327873:EHJ327874 ERF327873:ERF327874 FBB327873:FBB327874 FKX327873:FKX327874 FUT327873:FUT327874 GEP327873:GEP327874 GOL327873:GOL327874 GYH327873:GYH327874 HID327873:HID327874 HRZ327873:HRZ327874 IBV327873:IBV327874 ILR327873:ILR327874 IVN327873:IVN327874 JFJ327873:JFJ327874 JPF327873:JPF327874 JZB327873:JZB327874 KIX327873:KIX327874 KST327873:KST327874 LCP327873:LCP327874 LML327873:LML327874 LWH327873:LWH327874 MGD327873:MGD327874 MPZ327873:MPZ327874 MZV327873:MZV327874 NJR327873:NJR327874 NTN327873:NTN327874 ODJ327873:ODJ327874 ONF327873:ONF327874 OXB327873:OXB327874 PGX327873:PGX327874 PQT327873:PQT327874 QAP327873:QAP327874 QKL327873:QKL327874 QUH327873:QUH327874 RED327873:RED327874 RNZ327873:RNZ327874 RXV327873:RXV327874 SHR327873:SHR327874 SRN327873:SRN327874 TBJ327873:TBJ327874 TLF327873:TLF327874 TVB327873:TVB327874 UEX327873:UEX327874 UOT327873:UOT327874 UYP327873:UYP327874 VIL327873:VIL327874 VSH327873:VSH327874 WCD327873:WCD327874 WLZ327873:WLZ327874 WVV327873:WVV327874 N393409:N393410 JJ393409:JJ393410 TF393409:TF393410 ADB393409:ADB393410 AMX393409:AMX393410 AWT393409:AWT393410 BGP393409:BGP393410 BQL393409:BQL393410 CAH393409:CAH393410 CKD393409:CKD393410 CTZ393409:CTZ393410 DDV393409:DDV393410 DNR393409:DNR393410 DXN393409:DXN393410 EHJ393409:EHJ393410 ERF393409:ERF393410 FBB393409:FBB393410 FKX393409:FKX393410 FUT393409:FUT393410 GEP393409:GEP393410 GOL393409:GOL393410 GYH393409:GYH393410 HID393409:HID393410 HRZ393409:HRZ393410 IBV393409:IBV393410 ILR393409:ILR393410 IVN393409:IVN393410 JFJ393409:JFJ393410 JPF393409:JPF393410 JZB393409:JZB393410 KIX393409:KIX393410 KST393409:KST393410 LCP393409:LCP393410 LML393409:LML393410 LWH393409:LWH393410 MGD393409:MGD393410 MPZ393409:MPZ393410 MZV393409:MZV393410 NJR393409:NJR393410 NTN393409:NTN393410 ODJ393409:ODJ393410 ONF393409:ONF393410 OXB393409:OXB393410 PGX393409:PGX393410 PQT393409:PQT393410 QAP393409:QAP393410 QKL393409:QKL393410 QUH393409:QUH393410 RED393409:RED393410 RNZ393409:RNZ393410 RXV393409:RXV393410 SHR393409:SHR393410 SRN393409:SRN393410 TBJ393409:TBJ393410 TLF393409:TLF393410 TVB393409:TVB393410 UEX393409:UEX393410 UOT393409:UOT393410 UYP393409:UYP393410 VIL393409:VIL393410 VSH393409:VSH393410 WCD393409:WCD393410 WLZ393409:WLZ393410 WVV393409:WVV393410 N458945:N458946 JJ458945:JJ458946 TF458945:TF458946 ADB458945:ADB458946 AMX458945:AMX458946 AWT458945:AWT458946 BGP458945:BGP458946 BQL458945:BQL458946 CAH458945:CAH458946 CKD458945:CKD458946 CTZ458945:CTZ458946 DDV458945:DDV458946 DNR458945:DNR458946 DXN458945:DXN458946 EHJ458945:EHJ458946 ERF458945:ERF458946 FBB458945:FBB458946 FKX458945:FKX458946 FUT458945:FUT458946 GEP458945:GEP458946 GOL458945:GOL458946 GYH458945:GYH458946 HID458945:HID458946 HRZ458945:HRZ458946 IBV458945:IBV458946 ILR458945:ILR458946 IVN458945:IVN458946 JFJ458945:JFJ458946 JPF458945:JPF458946 JZB458945:JZB458946 KIX458945:KIX458946 KST458945:KST458946 LCP458945:LCP458946 LML458945:LML458946 LWH458945:LWH458946 MGD458945:MGD458946 MPZ458945:MPZ458946 MZV458945:MZV458946 NJR458945:NJR458946 NTN458945:NTN458946 ODJ458945:ODJ458946 ONF458945:ONF458946 OXB458945:OXB458946 PGX458945:PGX458946 PQT458945:PQT458946 QAP458945:QAP458946 QKL458945:QKL458946 QUH458945:QUH458946 RED458945:RED458946 RNZ458945:RNZ458946 RXV458945:RXV458946 SHR458945:SHR458946 SRN458945:SRN458946 TBJ458945:TBJ458946 TLF458945:TLF458946 TVB458945:TVB458946 UEX458945:UEX458946 UOT458945:UOT458946 UYP458945:UYP458946 VIL458945:VIL458946 VSH458945:VSH458946 WCD458945:WCD458946 WLZ458945:WLZ458946 WVV458945:WVV458946 N524481:N524482 JJ524481:JJ524482 TF524481:TF524482 ADB524481:ADB524482 AMX524481:AMX524482 AWT524481:AWT524482 BGP524481:BGP524482 BQL524481:BQL524482 CAH524481:CAH524482 CKD524481:CKD524482 CTZ524481:CTZ524482 DDV524481:DDV524482 DNR524481:DNR524482 DXN524481:DXN524482 EHJ524481:EHJ524482 ERF524481:ERF524482 FBB524481:FBB524482 FKX524481:FKX524482 FUT524481:FUT524482 GEP524481:GEP524482 GOL524481:GOL524482 GYH524481:GYH524482 HID524481:HID524482 HRZ524481:HRZ524482 IBV524481:IBV524482 ILR524481:ILR524482 IVN524481:IVN524482 JFJ524481:JFJ524482 JPF524481:JPF524482 JZB524481:JZB524482 KIX524481:KIX524482 KST524481:KST524482 LCP524481:LCP524482 LML524481:LML524482 LWH524481:LWH524482 MGD524481:MGD524482 MPZ524481:MPZ524482 MZV524481:MZV524482 NJR524481:NJR524482 NTN524481:NTN524482 ODJ524481:ODJ524482 ONF524481:ONF524482 OXB524481:OXB524482 PGX524481:PGX524482 PQT524481:PQT524482 QAP524481:QAP524482 QKL524481:QKL524482 QUH524481:QUH524482 RED524481:RED524482 RNZ524481:RNZ524482 RXV524481:RXV524482 SHR524481:SHR524482 SRN524481:SRN524482 TBJ524481:TBJ524482 TLF524481:TLF524482 TVB524481:TVB524482 UEX524481:UEX524482 UOT524481:UOT524482 UYP524481:UYP524482 VIL524481:VIL524482 VSH524481:VSH524482 WCD524481:WCD524482 WLZ524481:WLZ524482 WVV524481:WVV524482 N590017:N590018 JJ590017:JJ590018 TF590017:TF590018 ADB590017:ADB590018 AMX590017:AMX590018 AWT590017:AWT590018 BGP590017:BGP590018 BQL590017:BQL590018 CAH590017:CAH590018 CKD590017:CKD590018 CTZ590017:CTZ590018 DDV590017:DDV590018 DNR590017:DNR590018 DXN590017:DXN590018 EHJ590017:EHJ590018 ERF590017:ERF590018 FBB590017:FBB590018 FKX590017:FKX590018 FUT590017:FUT590018 GEP590017:GEP590018 GOL590017:GOL590018 GYH590017:GYH590018 HID590017:HID590018 HRZ590017:HRZ590018 IBV590017:IBV590018 ILR590017:ILR590018 IVN590017:IVN590018 JFJ590017:JFJ590018 JPF590017:JPF590018 JZB590017:JZB590018 KIX590017:KIX590018 KST590017:KST590018 LCP590017:LCP590018 LML590017:LML590018 LWH590017:LWH590018 MGD590017:MGD590018 MPZ590017:MPZ590018 MZV590017:MZV590018 NJR590017:NJR590018 NTN590017:NTN590018 ODJ590017:ODJ590018 ONF590017:ONF590018 OXB590017:OXB590018 PGX590017:PGX590018 PQT590017:PQT590018 QAP590017:QAP590018 QKL590017:QKL590018 QUH590017:QUH590018 RED590017:RED590018 RNZ590017:RNZ590018 RXV590017:RXV590018 SHR590017:SHR590018 SRN590017:SRN590018 TBJ590017:TBJ590018 TLF590017:TLF590018 TVB590017:TVB590018 UEX590017:UEX590018 UOT590017:UOT590018 UYP590017:UYP590018 VIL590017:VIL590018 VSH590017:VSH590018 WCD590017:WCD590018 WLZ590017:WLZ590018 WVV590017:WVV590018 N655553:N655554 JJ655553:JJ655554 TF655553:TF655554 ADB655553:ADB655554 AMX655553:AMX655554 AWT655553:AWT655554 BGP655553:BGP655554 BQL655553:BQL655554 CAH655553:CAH655554 CKD655553:CKD655554 CTZ655553:CTZ655554 DDV655553:DDV655554 DNR655553:DNR655554 DXN655553:DXN655554 EHJ655553:EHJ655554 ERF655553:ERF655554 FBB655553:FBB655554 FKX655553:FKX655554 FUT655553:FUT655554 GEP655553:GEP655554 GOL655553:GOL655554 GYH655553:GYH655554 HID655553:HID655554 HRZ655553:HRZ655554 IBV655553:IBV655554 ILR655553:ILR655554 IVN655553:IVN655554 JFJ655553:JFJ655554 JPF655553:JPF655554 JZB655553:JZB655554 KIX655553:KIX655554 KST655553:KST655554 LCP655553:LCP655554 LML655553:LML655554 LWH655553:LWH655554 MGD655553:MGD655554 MPZ655553:MPZ655554 MZV655553:MZV655554 NJR655553:NJR655554 NTN655553:NTN655554 ODJ655553:ODJ655554 ONF655553:ONF655554 OXB655553:OXB655554 PGX655553:PGX655554 PQT655553:PQT655554 QAP655553:QAP655554 QKL655553:QKL655554 QUH655553:QUH655554 RED655553:RED655554 RNZ655553:RNZ655554 RXV655553:RXV655554 SHR655553:SHR655554 SRN655553:SRN655554 TBJ655553:TBJ655554 TLF655553:TLF655554 TVB655553:TVB655554 UEX655553:UEX655554 UOT655553:UOT655554 UYP655553:UYP655554 VIL655553:VIL655554 VSH655553:VSH655554 WCD655553:WCD655554 WLZ655553:WLZ655554 WVV655553:WVV655554 N721089:N721090 JJ721089:JJ721090 TF721089:TF721090 ADB721089:ADB721090 AMX721089:AMX721090 AWT721089:AWT721090 BGP721089:BGP721090 BQL721089:BQL721090 CAH721089:CAH721090 CKD721089:CKD721090 CTZ721089:CTZ721090 DDV721089:DDV721090 DNR721089:DNR721090 DXN721089:DXN721090 EHJ721089:EHJ721090 ERF721089:ERF721090 FBB721089:FBB721090 FKX721089:FKX721090 FUT721089:FUT721090 GEP721089:GEP721090 GOL721089:GOL721090 GYH721089:GYH721090 HID721089:HID721090 HRZ721089:HRZ721090 IBV721089:IBV721090 ILR721089:ILR721090 IVN721089:IVN721090 JFJ721089:JFJ721090 JPF721089:JPF721090 JZB721089:JZB721090 KIX721089:KIX721090 KST721089:KST721090 LCP721089:LCP721090 LML721089:LML721090 LWH721089:LWH721090 MGD721089:MGD721090 MPZ721089:MPZ721090 MZV721089:MZV721090 NJR721089:NJR721090 NTN721089:NTN721090 ODJ721089:ODJ721090 ONF721089:ONF721090 OXB721089:OXB721090 PGX721089:PGX721090 PQT721089:PQT721090 QAP721089:QAP721090 QKL721089:QKL721090 QUH721089:QUH721090 RED721089:RED721090 RNZ721089:RNZ721090 RXV721089:RXV721090 SHR721089:SHR721090 SRN721089:SRN721090 TBJ721089:TBJ721090 TLF721089:TLF721090 TVB721089:TVB721090 UEX721089:UEX721090 UOT721089:UOT721090 UYP721089:UYP721090 VIL721089:VIL721090 VSH721089:VSH721090 WCD721089:WCD721090 WLZ721089:WLZ721090 WVV721089:WVV721090 N786625:N786626 JJ786625:JJ786626 TF786625:TF786626 ADB786625:ADB786626 AMX786625:AMX786626 AWT786625:AWT786626 BGP786625:BGP786626 BQL786625:BQL786626 CAH786625:CAH786626 CKD786625:CKD786626 CTZ786625:CTZ786626 DDV786625:DDV786626 DNR786625:DNR786626 DXN786625:DXN786626 EHJ786625:EHJ786626 ERF786625:ERF786626 FBB786625:FBB786626 FKX786625:FKX786626 FUT786625:FUT786626 GEP786625:GEP786626 GOL786625:GOL786626 GYH786625:GYH786626 HID786625:HID786626 HRZ786625:HRZ786626 IBV786625:IBV786626 ILR786625:ILR786626 IVN786625:IVN786626 JFJ786625:JFJ786626 JPF786625:JPF786626 JZB786625:JZB786626 KIX786625:KIX786626 KST786625:KST786626 LCP786625:LCP786626 LML786625:LML786626 LWH786625:LWH786626 MGD786625:MGD786626 MPZ786625:MPZ786626 MZV786625:MZV786626 NJR786625:NJR786626 NTN786625:NTN786626 ODJ786625:ODJ786626 ONF786625:ONF786626 OXB786625:OXB786626 PGX786625:PGX786626 PQT786625:PQT786626 QAP786625:QAP786626 QKL786625:QKL786626 QUH786625:QUH786626 RED786625:RED786626 RNZ786625:RNZ786626 RXV786625:RXV786626 SHR786625:SHR786626 SRN786625:SRN786626 TBJ786625:TBJ786626 TLF786625:TLF786626 TVB786625:TVB786626 UEX786625:UEX786626 UOT786625:UOT786626 UYP786625:UYP786626 VIL786625:VIL786626 VSH786625:VSH786626 WCD786625:WCD786626 WLZ786625:WLZ786626 WVV786625:WVV786626 N852161:N852162 JJ852161:JJ852162 TF852161:TF852162 ADB852161:ADB852162 AMX852161:AMX852162 AWT852161:AWT852162 BGP852161:BGP852162 BQL852161:BQL852162 CAH852161:CAH852162 CKD852161:CKD852162 CTZ852161:CTZ852162 DDV852161:DDV852162 DNR852161:DNR852162 DXN852161:DXN852162 EHJ852161:EHJ852162 ERF852161:ERF852162 FBB852161:FBB852162 FKX852161:FKX852162 FUT852161:FUT852162 GEP852161:GEP852162 GOL852161:GOL852162 GYH852161:GYH852162 HID852161:HID852162 HRZ852161:HRZ852162 IBV852161:IBV852162 ILR852161:ILR852162 IVN852161:IVN852162 JFJ852161:JFJ852162 JPF852161:JPF852162 JZB852161:JZB852162 KIX852161:KIX852162 KST852161:KST852162 LCP852161:LCP852162 LML852161:LML852162 LWH852161:LWH852162 MGD852161:MGD852162 MPZ852161:MPZ852162 MZV852161:MZV852162 NJR852161:NJR852162 NTN852161:NTN852162 ODJ852161:ODJ852162 ONF852161:ONF852162 OXB852161:OXB852162 PGX852161:PGX852162 PQT852161:PQT852162 QAP852161:QAP852162 QKL852161:QKL852162 QUH852161:QUH852162 RED852161:RED852162 RNZ852161:RNZ852162 RXV852161:RXV852162 SHR852161:SHR852162 SRN852161:SRN852162 TBJ852161:TBJ852162 TLF852161:TLF852162 TVB852161:TVB852162 UEX852161:UEX852162 UOT852161:UOT852162 UYP852161:UYP852162 VIL852161:VIL852162 VSH852161:VSH852162 WCD852161:WCD852162 WLZ852161:WLZ852162 WVV852161:WVV852162 N917697:N917698 JJ917697:JJ917698 TF917697:TF917698 ADB917697:ADB917698 AMX917697:AMX917698 AWT917697:AWT917698 BGP917697:BGP917698 BQL917697:BQL917698 CAH917697:CAH917698 CKD917697:CKD917698 CTZ917697:CTZ917698 DDV917697:DDV917698 DNR917697:DNR917698 DXN917697:DXN917698 EHJ917697:EHJ917698 ERF917697:ERF917698 FBB917697:FBB917698 FKX917697:FKX917698 FUT917697:FUT917698 GEP917697:GEP917698 GOL917697:GOL917698 GYH917697:GYH917698 HID917697:HID917698 HRZ917697:HRZ917698 IBV917697:IBV917698 ILR917697:ILR917698 IVN917697:IVN917698 JFJ917697:JFJ917698 JPF917697:JPF917698 JZB917697:JZB917698 KIX917697:KIX917698 KST917697:KST917698 LCP917697:LCP917698 LML917697:LML917698 LWH917697:LWH917698 MGD917697:MGD917698 MPZ917697:MPZ917698 MZV917697:MZV917698 NJR917697:NJR917698 NTN917697:NTN917698 ODJ917697:ODJ917698 ONF917697:ONF917698 OXB917697:OXB917698 PGX917697:PGX917698 PQT917697:PQT917698 QAP917697:QAP917698 QKL917697:QKL917698 QUH917697:QUH917698 RED917697:RED917698 RNZ917697:RNZ917698 RXV917697:RXV917698 SHR917697:SHR917698 SRN917697:SRN917698 TBJ917697:TBJ917698 TLF917697:TLF917698 TVB917697:TVB917698 UEX917697:UEX917698 UOT917697:UOT917698 UYP917697:UYP917698 VIL917697:VIL917698 VSH917697:VSH917698 WCD917697:WCD917698 WLZ917697:WLZ917698 WVV917697:WVV917698 N983233:N983234 JJ983233:JJ983234 TF983233:TF983234 ADB983233:ADB983234 AMX983233:AMX983234 AWT983233:AWT983234 BGP983233:BGP983234 BQL983233:BQL983234 CAH983233:CAH983234 CKD983233:CKD983234 CTZ983233:CTZ983234 DDV983233:DDV983234 DNR983233:DNR983234 DXN983233:DXN983234 EHJ983233:EHJ983234 ERF983233:ERF983234 FBB983233:FBB983234 FKX983233:FKX983234 FUT983233:FUT983234 GEP983233:GEP983234 GOL983233:GOL983234 GYH983233:GYH983234 HID983233:HID983234 HRZ983233:HRZ983234 IBV983233:IBV983234 ILR983233:ILR983234 IVN983233:IVN983234 JFJ983233:JFJ983234 JPF983233:JPF983234 JZB983233:JZB983234 KIX983233:KIX983234 KST983233:KST983234 LCP983233:LCP983234 LML983233:LML983234 LWH983233:LWH983234 MGD983233:MGD983234 MPZ983233:MPZ983234 MZV983233:MZV983234 NJR983233:NJR983234 NTN983233:NTN983234 ODJ983233:ODJ983234 ONF983233:ONF983234 OXB983233:OXB983234 PGX983233:PGX983234 PQT983233:PQT983234 QAP983233:QAP983234 QKL983233:QKL983234 QUH983233:QUH983234 RED983233:RED983234 RNZ983233:RNZ983234 RXV983233:RXV983234 SHR983233:SHR983234 SRN983233:SRN983234 TBJ983233:TBJ983234 TLF983233:TLF983234 TVB983233:TVB983234 UEX983233:UEX983234 UOT983233:UOT983234 UYP983233:UYP983234 VIL983233:VIL983234 VSH983233:VSH983234 WCD983233:WCD983234 WLZ983233:WLZ983234 WVV983233:WVV983234 AD209 JZ209 TV209 ADR209 ANN209 AXJ209 BHF209 BRB209 CAX209 CKT209 CUP209 DEL209 DOH209 DYD209 EHZ209 ERV209 FBR209 FLN209 FVJ209 GFF209 GPB209 GYX209 HIT209 HSP209 ICL209 IMH209 IWD209 JFZ209 JPV209 JZR209 KJN209 KTJ209 LDF209 LNB209 LWX209 MGT209 MQP209 NAL209 NKH209 NUD209 ODZ209 ONV209 OXR209 PHN209 PRJ209 QBF209 QLB209 QUX209 RET209 ROP209 RYL209 SIH209 SSD209 TBZ209 TLV209 TVR209 UFN209 UPJ209 UZF209 VJB209 VSX209 WCT209 WMP209 WWL209 AD65745 JZ65745 TV65745 ADR65745 ANN65745 AXJ65745 BHF65745 BRB65745 CAX65745 CKT65745 CUP65745 DEL65745 DOH65745 DYD65745 EHZ65745 ERV65745 FBR65745 FLN65745 FVJ65745 GFF65745 GPB65745 GYX65745 HIT65745 HSP65745 ICL65745 IMH65745 IWD65745 JFZ65745 JPV65745 JZR65745 KJN65745 KTJ65745 LDF65745 LNB65745 LWX65745 MGT65745 MQP65745 NAL65745 NKH65745 NUD65745 ODZ65745 ONV65745 OXR65745 PHN65745 PRJ65745 QBF65745 QLB65745 QUX65745 RET65745 ROP65745 RYL65745 SIH65745 SSD65745 TBZ65745 TLV65745 TVR65745 UFN65745 UPJ65745 UZF65745 VJB65745 VSX65745 WCT65745 WMP65745 WWL65745 AD131281 JZ131281 TV131281 ADR131281 ANN131281 AXJ131281 BHF131281 BRB131281 CAX131281 CKT131281 CUP131281 DEL131281 DOH131281 DYD131281 EHZ131281 ERV131281 FBR131281 FLN131281 FVJ131281 GFF131281 GPB131281 GYX131281 HIT131281 HSP131281 ICL131281 IMH131281 IWD131281 JFZ131281 JPV131281 JZR131281 KJN131281 KTJ131281 LDF131281 LNB131281 LWX131281 MGT131281 MQP131281 NAL131281 NKH131281 NUD131281 ODZ131281 ONV131281 OXR131281 PHN131281 PRJ131281 QBF131281 QLB131281 QUX131281 RET131281 ROP131281 RYL131281 SIH131281 SSD131281 TBZ131281 TLV131281 TVR131281 UFN131281 UPJ131281 UZF131281 VJB131281 VSX131281 WCT131281 WMP131281 WWL131281 AD196817 JZ196817 TV196817 ADR196817 ANN196817 AXJ196817 BHF196817 BRB196817 CAX196817 CKT196817 CUP196817 DEL196817 DOH196817 DYD196817 EHZ196817 ERV196817 FBR196817 FLN196817 FVJ196817 GFF196817 GPB196817 GYX196817 HIT196817 HSP196817 ICL196817 IMH196817 IWD196817 JFZ196817 JPV196817 JZR196817 KJN196817 KTJ196817 LDF196817 LNB196817 LWX196817 MGT196817 MQP196817 NAL196817 NKH196817 NUD196817 ODZ196817 ONV196817 OXR196817 PHN196817 PRJ196817 QBF196817 QLB196817 QUX196817 RET196817 ROP196817 RYL196817 SIH196817 SSD196817 TBZ196817 TLV196817 TVR196817 UFN196817 UPJ196817 UZF196817 VJB196817 VSX196817 WCT196817 WMP196817 WWL196817 AD262353 JZ262353 TV262353 ADR262353 ANN262353 AXJ262353 BHF262353 BRB262353 CAX262353 CKT262353 CUP262353 DEL262353 DOH262353 DYD262353 EHZ262353 ERV262353 FBR262353 FLN262353 FVJ262353 GFF262353 GPB262353 GYX262353 HIT262353 HSP262353 ICL262353 IMH262353 IWD262353 JFZ262353 JPV262353 JZR262353 KJN262353 KTJ262353 LDF262353 LNB262353 LWX262353 MGT262353 MQP262353 NAL262353 NKH262353 NUD262353 ODZ262353 ONV262353 OXR262353 PHN262353 PRJ262353 QBF262353 QLB262353 QUX262353 RET262353 ROP262353 RYL262353 SIH262353 SSD262353 TBZ262353 TLV262353 TVR262353 UFN262353 UPJ262353 UZF262353 VJB262353 VSX262353 WCT262353 WMP262353 WWL262353 AD327889 JZ327889 TV327889 ADR327889 ANN327889 AXJ327889 BHF327889 BRB327889 CAX327889 CKT327889 CUP327889 DEL327889 DOH327889 DYD327889 EHZ327889 ERV327889 FBR327889 FLN327889 FVJ327889 GFF327889 GPB327889 GYX327889 HIT327889 HSP327889 ICL327889 IMH327889 IWD327889 JFZ327889 JPV327889 JZR327889 KJN327889 KTJ327889 LDF327889 LNB327889 LWX327889 MGT327889 MQP327889 NAL327889 NKH327889 NUD327889 ODZ327889 ONV327889 OXR327889 PHN327889 PRJ327889 QBF327889 QLB327889 QUX327889 RET327889 ROP327889 RYL327889 SIH327889 SSD327889 TBZ327889 TLV327889 TVR327889 UFN327889 UPJ327889 UZF327889 VJB327889 VSX327889 WCT327889 WMP327889 WWL327889 AD393425 JZ393425 TV393425 ADR393425 ANN393425 AXJ393425 BHF393425 BRB393425 CAX393425 CKT393425 CUP393425 DEL393425 DOH393425 DYD393425 EHZ393425 ERV393425 FBR393425 FLN393425 FVJ393425 GFF393425 GPB393425 GYX393425 HIT393425 HSP393425 ICL393425 IMH393425 IWD393425 JFZ393425 JPV393425 JZR393425 KJN393425 KTJ393425 LDF393425 LNB393425 LWX393425 MGT393425 MQP393425 NAL393425 NKH393425 NUD393425 ODZ393425 ONV393425 OXR393425 PHN393425 PRJ393425 QBF393425 QLB393425 QUX393425 RET393425 ROP393425 RYL393425 SIH393425 SSD393425 TBZ393425 TLV393425 TVR393425 UFN393425 UPJ393425 UZF393425 VJB393425 VSX393425 WCT393425 WMP393425 WWL393425 AD458961 JZ458961 TV458961 ADR458961 ANN458961 AXJ458961 BHF458961 BRB458961 CAX458961 CKT458961 CUP458961 DEL458961 DOH458961 DYD458961 EHZ458961 ERV458961 FBR458961 FLN458961 FVJ458961 GFF458961 GPB458961 GYX458961 HIT458961 HSP458961 ICL458961 IMH458961 IWD458961 JFZ458961 JPV458961 JZR458961 KJN458961 KTJ458961 LDF458961 LNB458961 LWX458961 MGT458961 MQP458961 NAL458961 NKH458961 NUD458961 ODZ458961 ONV458961 OXR458961 PHN458961 PRJ458961 QBF458961 QLB458961 QUX458961 RET458961 ROP458961 RYL458961 SIH458961 SSD458961 TBZ458961 TLV458961 TVR458961 UFN458961 UPJ458961 UZF458961 VJB458961 VSX458961 WCT458961 WMP458961 WWL458961 AD524497 JZ524497 TV524497 ADR524497 ANN524497 AXJ524497 BHF524497 BRB524497 CAX524497 CKT524497 CUP524497 DEL524497 DOH524497 DYD524497 EHZ524497 ERV524497 FBR524497 FLN524497 FVJ524497 GFF524497 GPB524497 GYX524497 HIT524497 HSP524497 ICL524497 IMH524497 IWD524497 JFZ524497 JPV524497 JZR524497 KJN524497 KTJ524497 LDF524497 LNB524497 LWX524497 MGT524497 MQP524497 NAL524497 NKH524497 NUD524497 ODZ524497 ONV524497 OXR524497 PHN524497 PRJ524497 QBF524497 QLB524497 QUX524497 RET524497 ROP524497 RYL524497 SIH524497 SSD524497 TBZ524497 TLV524497 TVR524497 UFN524497 UPJ524497 UZF524497 VJB524497 VSX524497 WCT524497 WMP524497 WWL524497 AD590033 JZ590033 TV590033 ADR590033 ANN590033 AXJ590033 BHF590033 BRB590033 CAX590033 CKT590033 CUP590033 DEL590033 DOH590033 DYD590033 EHZ590033 ERV590033 FBR590033 FLN590033 FVJ590033 GFF590033 GPB590033 GYX590033 HIT590033 HSP590033 ICL590033 IMH590033 IWD590033 JFZ590033 JPV590033 JZR590033 KJN590033 KTJ590033 LDF590033 LNB590033 LWX590033 MGT590033 MQP590033 NAL590033 NKH590033 NUD590033 ODZ590033 ONV590033 OXR590033 PHN590033 PRJ590033 QBF590033 QLB590033 QUX590033 RET590033 ROP590033 RYL590033 SIH590033 SSD590033 TBZ590033 TLV590033 TVR590033 UFN590033 UPJ590033 UZF590033 VJB590033 VSX590033 WCT590033 WMP590033 WWL590033 AD655569 JZ655569 TV655569 ADR655569 ANN655569 AXJ655569 BHF655569 BRB655569 CAX655569 CKT655569 CUP655569 DEL655569 DOH655569 DYD655569 EHZ655569 ERV655569 FBR655569 FLN655569 FVJ655569 GFF655569 GPB655569 GYX655569 HIT655569 HSP655569 ICL655569 IMH655569 IWD655569 JFZ655569 JPV655569 JZR655569 KJN655569 KTJ655569 LDF655569 LNB655569 LWX655569 MGT655569 MQP655569 NAL655569 NKH655569 NUD655569 ODZ655569 ONV655569 OXR655569 PHN655569 PRJ655569 QBF655569 QLB655569 QUX655569 RET655569 ROP655569 RYL655569 SIH655569 SSD655569 TBZ655569 TLV655569 TVR655569 UFN655569 UPJ655569 UZF655569 VJB655569 VSX655569 WCT655569 WMP655569 WWL655569 AD721105 JZ721105 TV721105 ADR721105 ANN721105 AXJ721105 BHF721105 BRB721105 CAX721105 CKT721105 CUP721105 DEL721105 DOH721105 DYD721105 EHZ721105 ERV721105 FBR721105 FLN721105 FVJ721105 GFF721105 GPB721105 GYX721105 HIT721105 HSP721105 ICL721105 IMH721105 IWD721105 JFZ721105 JPV721105 JZR721105 KJN721105 KTJ721105 LDF721105 LNB721105 LWX721105 MGT721105 MQP721105 NAL721105 NKH721105 NUD721105 ODZ721105 ONV721105 OXR721105 PHN721105 PRJ721105 QBF721105 QLB721105 QUX721105 RET721105 ROP721105 RYL721105 SIH721105 SSD721105 TBZ721105 TLV721105 TVR721105 UFN721105 UPJ721105 UZF721105 VJB721105 VSX721105 WCT721105 WMP721105 WWL721105 AD786641 JZ786641 TV786641 ADR786641 ANN786641 AXJ786641 BHF786641 BRB786641 CAX786641 CKT786641 CUP786641 DEL786641 DOH786641 DYD786641 EHZ786641 ERV786641 FBR786641 FLN786641 FVJ786641 GFF786641 GPB786641 GYX786641 HIT786641 HSP786641 ICL786641 IMH786641 IWD786641 JFZ786641 JPV786641 JZR786641 KJN786641 KTJ786641 LDF786641 LNB786641 LWX786641 MGT786641 MQP786641 NAL786641 NKH786641 NUD786641 ODZ786641 ONV786641 OXR786641 PHN786641 PRJ786641 QBF786641 QLB786641 QUX786641 RET786641 ROP786641 RYL786641 SIH786641 SSD786641 TBZ786641 TLV786641 TVR786641 UFN786641 UPJ786641 UZF786641 VJB786641 VSX786641 WCT786641 WMP786641 WWL786641 AD852177 JZ852177 TV852177 ADR852177 ANN852177 AXJ852177 BHF852177 BRB852177 CAX852177 CKT852177 CUP852177 DEL852177 DOH852177 DYD852177 EHZ852177 ERV852177 FBR852177 FLN852177 FVJ852177 GFF852177 GPB852177 GYX852177 HIT852177 HSP852177 ICL852177 IMH852177 IWD852177 JFZ852177 JPV852177 JZR852177 KJN852177 KTJ852177 LDF852177 LNB852177 LWX852177 MGT852177 MQP852177 NAL852177 NKH852177 NUD852177 ODZ852177 ONV852177 OXR852177 PHN852177 PRJ852177 QBF852177 QLB852177 QUX852177 RET852177 ROP852177 RYL852177 SIH852177 SSD852177 TBZ852177 TLV852177 TVR852177 UFN852177 UPJ852177 UZF852177 VJB852177 VSX852177 WCT852177 WMP852177 WWL852177 AD917713 JZ917713 TV917713 ADR917713 ANN917713 AXJ917713 BHF917713 BRB917713 CAX917713 CKT917713 CUP917713 DEL917713 DOH917713 DYD917713 EHZ917713 ERV917713 FBR917713 FLN917713 FVJ917713 GFF917713 GPB917713 GYX917713 HIT917713 HSP917713 ICL917713 IMH917713 IWD917713 JFZ917713 JPV917713 JZR917713 KJN917713 KTJ917713 LDF917713 LNB917713 LWX917713 MGT917713 MQP917713 NAL917713 NKH917713 NUD917713 ODZ917713 ONV917713 OXR917713 PHN917713 PRJ917713 QBF917713 QLB917713 QUX917713 RET917713 ROP917713 RYL917713 SIH917713 SSD917713 TBZ917713 TLV917713 TVR917713 UFN917713 UPJ917713 UZF917713 VJB917713 VSX917713 WCT917713 WMP917713 WWL917713 AD983249 JZ983249 TV983249 ADR983249 ANN983249 AXJ983249 BHF983249 BRB983249 CAX983249 CKT983249 CUP983249 DEL983249 DOH983249 DYD983249 EHZ983249 ERV983249 FBR983249 FLN983249 FVJ983249 GFF983249 GPB983249 GYX983249 HIT983249 HSP983249 ICL983249 IMH983249 IWD983249 JFZ983249 JPV983249 JZR983249 KJN983249 KTJ983249 LDF983249 LNB983249 LWX983249 MGT983249 MQP983249 NAL983249 NKH983249 NUD983249 ODZ983249 ONV983249 OXR983249 PHN983249 PRJ983249 QBF983249 QLB983249 QUX983249 RET983249 ROP983249 RYL983249 SIH983249 SSD983249 TBZ983249 TLV983249 TVR983249 UFN983249 UPJ983249 UZF983249 VJB983249 VSX983249 WCT983249 WMP983249 WWL983249 AD211 JZ211 TV211 ADR211 ANN211 AXJ211 BHF211 BRB211 CAX211 CKT211 CUP211 DEL211 DOH211 DYD211 EHZ211 ERV211 FBR211 FLN211 FVJ211 GFF211 GPB211 GYX211 HIT211 HSP211 ICL211 IMH211 IWD211 JFZ211 JPV211 JZR211 KJN211 KTJ211 LDF211 LNB211 LWX211 MGT211 MQP211 NAL211 NKH211 NUD211 ODZ211 ONV211 OXR211 PHN211 PRJ211 QBF211 QLB211 QUX211 RET211 ROP211 RYL211 SIH211 SSD211 TBZ211 TLV211 TVR211 UFN211 UPJ211 UZF211 VJB211 VSX211 WCT211 WMP211 WWL211 AD65747 JZ65747 TV65747 ADR65747 ANN65747 AXJ65747 BHF65747 BRB65747 CAX65747 CKT65747 CUP65747 DEL65747 DOH65747 DYD65747 EHZ65747 ERV65747 FBR65747 FLN65747 FVJ65747 GFF65747 GPB65747 GYX65747 HIT65747 HSP65747 ICL65747 IMH65747 IWD65747 JFZ65747 JPV65747 JZR65747 KJN65747 KTJ65747 LDF65747 LNB65747 LWX65747 MGT65747 MQP65747 NAL65747 NKH65747 NUD65747 ODZ65747 ONV65747 OXR65747 PHN65747 PRJ65747 QBF65747 QLB65747 QUX65747 RET65747 ROP65747 RYL65747 SIH65747 SSD65747 TBZ65747 TLV65747 TVR65747 UFN65747 UPJ65747 UZF65747 VJB65747 VSX65747 WCT65747 WMP65747 WWL65747 AD131283 JZ131283 TV131283 ADR131283 ANN131283 AXJ131283 BHF131283 BRB131283 CAX131283 CKT131283 CUP131283 DEL131283 DOH131283 DYD131283 EHZ131283 ERV131283 FBR131283 FLN131283 FVJ131283 GFF131283 GPB131283 GYX131283 HIT131283 HSP131283 ICL131283 IMH131283 IWD131283 JFZ131283 JPV131283 JZR131283 KJN131283 KTJ131283 LDF131283 LNB131283 LWX131283 MGT131283 MQP131283 NAL131283 NKH131283 NUD131283 ODZ131283 ONV131283 OXR131283 PHN131283 PRJ131283 QBF131283 QLB131283 QUX131283 RET131283 ROP131283 RYL131283 SIH131283 SSD131283 TBZ131283 TLV131283 TVR131283 UFN131283 UPJ131283 UZF131283 VJB131283 VSX131283 WCT131283 WMP131283 WWL131283 AD196819 JZ196819 TV196819 ADR196819 ANN196819 AXJ196819 BHF196819 BRB196819 CAX196819 CKT196819 CUP196819 DEL196819 DOH196819 DYD196819 EHZ196819 ERV196819 FBR196819 FLN196819 FVJ196819 GFF196819 GPB196819 GYX196819 HIT196819 HSP196819 ICL196819 IMH196819 IWD196819 JFZ196819 JPV196819 JZR196819 KJN196819 KTJ196819 LDF196819 LNB196819 LWX196819 MGT196819 MQP196819 NAL196819 NKH196819 NUD196819 ODZ196819 ONV196819 OXR196819 PHN196819 PRJ196819 QBF196819 QLB196819 QUX196819 RET196819 ROP196819 RYL196819 SIH196819 SSD196819 TBZ196819 TLV196819 TVR196819 UFN196819 UPJ196819 UZF196819 VJB196819 VSX196819 WCT196819 WMP196819 WWL196819 AD262355 JZ262355 TV262355 ADR262355 ANN262355 AXJ262355 BHF262355 BRB262355 CAX262355 CKT262355 CUP262355 DEL262355 DOH262355 DYD262355 EHZ262355 ERV262355 FBR262355 FLN262355 FVJ262355 GFF262355 GPB262355 GYX262355 HIT262355 HSP262355 ICL262355 IMH262355 IWD262355 JFZ262355 JPV262355 JZR262355 KJN262355 KTJ262355 LDF262355 LNB262355 LWX262355 MGT262355 MQP262355 NAL262355 NKH262355 NUD262355 ODZ262355 ONV262355 OXR262355 PHN262355 PRJ262355 QBF262355 QLB262355 QUX262355 RET262355 ROP262355 RYL262355 SIH262355 SSD262355 TBZ262355 TLV262355 TVR262355 UFN262355 UPJ262355 UZF262355 VJB262355 VSX262355 WCT262355 WMP262355 WWL262355 AD327891 JZ327891 TV327891 ADR327891 ANN327891 AXJ327891 BHF327891 BRB327891 CAX327891 CKT327891 CUP327891 DEL327891 DOH327891 DYD327891 EHZ327891 ERV327891 FBR327891 FLN327891 FVJ327891 GFF327891 GPB327891 GYX327891 HIT327891 HSP327891 ICL327891 IMH327891 IWD327891 JFZ327891 JPV327891 JZR327891 KJN327891 KTJ327891 LDF327891 LNB327891 LWX327891 MGT327891 MQP327891 NAL327891 NKH327891 NUD327891 ODZ327891 ONV327891 OXR327891 PHN327891 PRJ327891 QBF327891 QLB327891 QUX327891 RET327891 ROP327891 RYL327891 SIH327891 SSD327891 TBZ327891 TLV327891 TVR327891 UFN327891 UPJ327891 UZF327891 VJB327891 VSX327891 WCT327891 WMP327891 WWL327891 AD393427 JZ393427 TV393427 ADR393427 ANN393427 AXJ393427 BHF393427 BRB393427 CAX393427 CKT393427 CUP393427 DEL393427 DOH393427 DYD393427 EHZ393427 ERV393427 FBR393427 FLN393427 FVJ393427 GFF393427 GPB393427 GYX393427 HIT393427 HSP393427 ICL393427 IMH393427 IWD393427 JFZ393427 JPV393427 JZR393427 KJN393427 KTJ393427 LDF393427 LNB393427 LWX393427 MGT393427 MQP393427 NAL393427 NKH393427 NUD393427 ODZ393427 ONV393427 OXR393427 PHN393427 PRJ393427 QBF393427 QLB393427 QUX393427 RET393427 ROP393427 RYL393427 SIH393427 SSD393427 TBZ393427 TLV393427 TVR393427 UFN393427 UPJ393427 UZF393427 VJB393427 VSX393427 WCT393427 WMP393427 WWL393427 AD458963 JZ458963 TV458963 ADR458963 ANN458963 AXJ458963 BHF458963 BRB458963 CAX458963 CKT458963 CUP458963 DEL458963 DOH458963 DYD458963 EHZ458963 ERV458963 FBR458963 FLN458963 FVJ458963 GFF458963 GPB458963 GYX458963 HIT458963 HSP458963 ICL458963 IMH458963 IWD458963 JFZ458963 JPV458963 JZR458963 KJN458963 KTJ458963 LDF458963 LNB458963 LWX458963 MGT458963 MQP458963 NAL458963 NKH458963 NUD458963 ODZ458963 ONV458963 OXR458963 PHN458963 PRJ458963 QBF458963 QLB458963 QUX458963 RET458963 ROP458963 RYL458963 SIH458963 SSD458963 TBZ458963 TLV458963 TVR458963 UFN458963 UPJ458963 UZF458963 VJB458963 VSX458963 WCT458963 WMP458963 WWL458963 AD524499 JZ524499 TV524499 ADR524499 ANN524499 AXJ524499 BHF524499 BRB524499 CAX524499 CKT524499 CUP524499 DEL524499 DOH524499 DYD524499 EHZ524499 ERV524499 FBR524499 FLN524499 FVJ524499 GFF524499 GPB524499 GYX524499 HIT524499 HSP524499 ICL524499 IMH524499 IWD524499 JFZ524499 JPV524499 JZR524499 KJN524499 KTJ524499 LDF524499 LNB524499 LWX524499 MGT524499 MQP524499 NAL524499 NKH524499 NUD524499 ODZ524499 ONV524499 OXR524499 PHN524499 PRJ524499 QBF524499 QLB524499 QUX524499 RET524499 ROP524499 RYL524499 SIH524499 SSD524499 TBZ524499 TLV524499 TVR524499 UFN524499 UPJ524499 UZF524499 VJB524499 VSX524499 WCT524499 WMP524499 WWL524499 AD590035 JZ590035 TV590035 ADR590035 ANN590035 AXJ590035 BHF590035 BRB590035 CAX590035 CKT590035 CUP590035 DEL590035 DOH590035 DYD590035 EHZ590035 ERV590035 FBR590035 FLN590035 FVJ590035 GFF590035 GPB590035 GYX590035 HIT590035 HSP590035 ICL590035 IMH590035 IWD590035 JFZ590035 JPV590035 JZR590035 KJN590035 KTJ590035 LDF590035 LNB590035 LWX590035 MGT590035 MQP590035 NAL590035 NKH590035 NUD590035 ODZ590035 ONV590035 OXR590035 PHN590035 PRJ590035 QBF590035 QLB590035 QUX590035 RET590035 ROP590035 RYL590035 SIH590035 SSD590035 TBZ590035 TLV590035 TVR590035 UFN590035 UPJ590035 UZF590035 VJB590035 VSX590035 WCT590035 WMP590035 WWL590035 AD655571 JZ655571 TV655571 ADR655571 ANN655571 AXJ655571 BHF655571 BRB655571 CAX655571 CKT655571 CUP655571 DEL655571 DOH655571 DYD655571 EHZ655571 ERV655571 FBR655571 FLN655571 FVJ655571 GFF655571 GPB655571 GYX655571 HIT655571 HSP655571 ICL655571 IMH655571 IWD655571 JFZ655571 JPV655571 JZR655571 KJN655571 KTJ655571 LDF655571 LNB655571 LWX655571 MGT655571 MQP655571 NAL655571 NKH655571 NUD655571 ODZ655571 ONV655571 OXR655571 PHN655571 PRJ655571 QBF655571 QLB655571 QUX655571 RET655571 ROP655571 RYL655571 SIH655571 SSD655571 TBZ655571 TLV655571 TVR655571 UFN655571 UPJ655571 UZF655571 VJB655571 VSX655571 WCT655571 WMP655571 WWL655571 AD721107 JZ721107 TV721107 ADR721107 ANN721107 AXJ721107 BHF721107 BRB721107 CAX721107 CKT721107 CUP721107 DEL721107 DOH721107 DYD721107 EHZ721107 ERV721107 FBR721107 FLN721107 FVJ721107 GFF721107 GPB721107 GYX721107 HIT721107 HSP721107 ICL721107 IMH721107 IWD721107 JFZ721107 JPV721107 JZR721107 KJN721107 KTJ721107 LDF721107 LNB721107 LWX721107 MGT721107 MQP721107 NAL721107 NKH721107 NUD721107 ODZ721107 ONV721107 OXR721107 PHN721107 PRJ721107 QBF721107 QLB721107 QUX721107 RET721107 ROP721107 RYL721107 SIH721107 SSD721107 TBZ721107 TLV721107 TVR721107 UFN721107 UPJ721107 UZF721107 VJB721107 VSX721107 WCT721107 WMP721107 WWL721107 AD786643 JZ786643 TV786643 ADR786643 ANN786643 AXJ786643 BHF786643 BRB786643 CAX786643 CKT786643 CUP786643 DEL786643 DOH786643 DYD786643 EHZ786643 ERV786643 FBR786643 FLN786643 FVJ786643 GFF786643 GPB786643 GYX786643 HIT786643 HSP786643 ICL786643 IMH786643 IWD786643 JFZ786643 JPV786643 JZR786643 KJN786643 KTJ786643 LDF786643 LNB786643 LWX786643 MGT786643 MQP786643 NAL786643 NKH786643 NUD786643 ODZ786643 ONV786643 OXR786643 PHN786643 PRJ786643 QBF786643 QLB786643 QUX786643 RET786643 ROP786643 RYL786643 SIH786643 SSD786643 TBZ786643 TLV786643 TVR786643 UFN786643 UPJ786643 UZF786643 VJB786643 VSX786643 WCT786643 WMP786643 WWL786643 AD852179 JZ852179 TV852179 ADR852179 ANN852179 AXJ852179 BHF852179 BRB852179 CAX852179 CKT852179 CUP852179 DEL852179 DOH852179 DYD852179 EHZ852179 ERV852179 FBR852179 FLN852179 FVJ852179 GFF852179 GPB852179 GYX852179 HIT852179 HSP852179 ICL852179 IMH852179 IWD852179 JFZ852179 JPV852179 JZR852179 KJN852179 KTJ852179 LDF852179 LNB852179 LWX852179 MGT852179 MQP852179 NAL852179 NKH852179 NUD852179 ODZ852179 ONV852179 OXR852179 PHN852179 PRJ852179 QBF852179 QLB852179 QUX852179 RET852179 ROP852179 RYL852179 SIH852179 SSD852179 TBZ852179 TLV852179 TVR852179 UFN852179 UPJ852179 UZF852179 VJB852179 VSX852179 WCT852179 WMP852179 WWL852179 AD917715 JZ917715 TV917715 ADR917715 ANN917715 AXJ917715 BHF917715 BRB917715 CAX917715 CKT917715 CUP917715 DEL917715 DOH917715 DYD917715 EHZ917715 ERV917715 FBR917715 FLN917715 FVJ917715 GFF917715 GPB917715 GYX917715 HIT917715 HSP917715 ICL917715 IMH917715 IWD917715 JFZ917715 JPV917715 JZR917715 KJN917715 KTJ917715 LDF917715 LNB917715 LWX917715 MGT917715 MQP917715 NAL917715 NKH917715 NUD917715 ODZ917715 ONV917715 OXR917715 PHN917715 PRJ917715 QBF917715 QLB917715 QUX917715 RET917715 ROP917715 RYL917715 SIH917715 SSD917715 TBZ917715 TLV917715 TVR917715 UFN917715 UPJ917715 UZF917715 VJB917715 VSX917715 WCT917715 WMP917715 WWL917715 AD983251 JZ983251 TV983251 ADR983251 ANN983251 AXJ983251 BHF983251 BRB983251 CAX983251 CKT983251 CUP983251 DEL983251 DOH983251 DYD983251 EHZ983251 ERV983251 FBR983251 FLN983251 FVJ983251 GFF983251 GPB983251 GYX983251 HIT983251 HSP983251 ICL983251 IMH983251 IWD983251 JFZ983251 JPV983251 JZR983251 KJN983251 KTJ983251 LDF983251 LNB983251 LWX983251 MGT983251 MQP983251 NAL983251 NKH983251 NUD983251 ODZ983251 ONV983251 OXR983251 PHN983251 PRJ983251 QBF983251 QLB983251 QUX983251 RET983251 ROP983251 RYL983251 SIH983251 SSD983251 TBZ983251 TLV983251 TVR983251 UFN983251 UPJ983251 UZF983251 VJB983251 VSX983251 WCT983251 WMP983251 WWL983251 N191 JJ191 TF191 ADB191 AMX191 AWT191 BGP191 BQL191 CAH191 CKD191 CTZ191 DDV191 DNR191 DXN191 EHJ191 ERF191 FBB191 FKX191 FUT191 GEP191 GOL191 GYH191 HID191 HRZ191 IBV191 ILR191 IVN191 JFJ191 JPF191 JZB191 KIX191 KST191 LCP191 LML191 LWH191 MGD191 MPZ191 MZV191 NJR191 NTN191 ODJ191 ONF191 OXB191 PGX191 PQT191 QAP191 QKL191 QUH191 RED191 RNZ191 RXV191 SHR191 SRN191 TBJ191 TLF191 TVB191 UEX191 UOT191 UYP191 VIL191 VSH191 WCD191 WLZ191 WVV191 N65727 JJ65727 TF65727 ADB65727 AMX65727 AWT65727 BGP65727 BQL65727 CAH65727 CKD65727 CTZ65727 DDV65727 DNR65727 DXN65727 EHJ65727 ERF65727 FBB65727 FKX65727 FUT65727 GEP65727 GOL65727 GYH65727 HID65727 HRZ65727 IBV65727 ILR65727 IVN65727 JFJ65727 JPF65727 JZB65727 KIX65727 KST65727 LCP65727 LML65727 LWH65727 MGD65727 MPZ65727 MZV65727 NJR65727 NTN65727 ODJ65727 ONF65727 OXB65727 PGX65727 PQT65727 QAP65727 QKL65727 QUH65727 RED65727 RNZ65727 RXV65727 SHR65727 SRN65727 TBJ65727 TLF65727 TVB65727 UEX65727 UOT65727 UYP65727 VIL65727 VSH65727 WCD65727 WLZ65727 WVV65727 N131263 JJ131263 TF131263 ADB131263 AMX131263 AWT131263 BGP131263 BQL131263 CAH131263 CKD131263 CTZ131263 DDV131263 DNR131263 DXN131263 EHJ131263 ERF131263 FBB131263 FKX131263 FUT131263 GEP131263 GOL131263 GYH131263 HID131263 HRZ131263 IBV131263 ILR131263 IVN131263 JFJ131263 JPF131263 JZB131263 KIX131263 KST131263 LCP131263 LML131263 LWH131263 MGD131263 MPZ131263 MZV131263 NJR131263 NTN131263 ODJ131263 ONF131263 OXB131263 PGX131263 PQT131263 QAP131263 QKL131263 QUH131263 RED131263 RNZ131263 RXV131263 SHR131263 SRN131263 TBJ131263 TLF131263 TVB131263 UEX131263 UOT131263 UYP131263 VIL131263 VSH131263 WCD131263 WLZ131263 WVV131263 N196799 JJ196799 TF196799 ADB196799 AMX196799 AWT196799 BGP196799 BQL196799 CAH196799 CKD196799 CTZ196799 DDV196799 DNR196799 DXN196799 EHJ196799 ERF196799 FBB196799 FKX196799 FUT196799 GEP196799 GOL196799 GYH196799 HID196799 HRZ196799 IBV196799 ILR196799 IVN196799 JFJ196799 JPF196799 JZB196799 KIX196799 KST196799 LCP196799 LML196799 LWH196799 MGD196799 MPZ196799 MZV196799 NJR196799 NTN196799 ODJ196799 ONF196799 OXB196799 PGX196799 PQT196799 QAP196799 QKL196799 QUH196799 RED196799 RNZ196799 RXV196799 SHR196799 SRN196799 TBJ196799 TLF196799 TVB196799 UEX196799 UOT196799 UYP196799 VIL196799 VSH196799 WCD196799 WLZ196799 WVV196799 N262335 JJ262335 TF262335 ADB262335 AMX262335 AWT262335 BGP262335 BQL262335 CAH262335 CKD262335 CTZ262335 DDV262335 DNR262335 DXN262335 EHJ262335 ERF262335 FBB262335 FKX262335 FUT262335 GEP262335 GOL262335 GYH262335 HID262335 HRZ262335 IBV262335 ILR262335 IVN262335 JFJ262335 JPF262335 JZB262335 KIX262335 KST262335 LCP262335 LML262335 LWH262335 MGD262335 MPZ262335 MZV262335 NJR262335 NTN262335 ODJ262335 ONF262335 OXB262335 PGX262335 PQT262335 QAP262335 QKL262335 QUH262335 RED262335 RNZ262335 RXV262335 SHR262335 SRN262335 TBJ262335 TLF262335 TVB262335 UEX262335 UOT262335 UYP262335 VIL262335 VSH262335 WCD262335 WLZ262335 WVV262335 N327871 JJ327871 TF327871 ADB327871 AMX327871 AWT327871 BGP327871 BQL327871 CAH327871 CKD327871 CTZ327871 DDV327871 DNR327871 DXN327871 EHJ327871 ERF327871 FBB327871 FKX327871 FUT327871 GEP327871 GOL327871 GYH327871 HID327871 HRZ327871 IBV327871 ILR327871 IVN327871 JFJ327871 JPF327871 JZB327871 KIX327871 KST327871 LCP327871 LML327871 LWH327871 MGD327871 MPZ327871 MZV327871 NJR327871 NTN327871 ODJ327871 ONF327871 OXB327871 PGX327871 PQT327871 QAP327871 QKL327871 QUH327871 RED327871 RNZ327871 RXV327871 SHR327871 SRN327871 TBJ327871 TLF327871 TVB327871 UEX327871 UOT327871 UYP327871 VIL327871 VSH327871 WCD327871 WLZ327871 WVV327871 N393407 JJ393407 TF393407 ADB393407 AMX393407 AWT393407 BGP393407 BQL393407 CAH393407 CKD393407 CTZ393407 DDV393407 DNR393407 DXN393407 EHJ393407 ERF393407 FBB393407 FKX393407 FUT393407 GEP393407 GOL393407 GYH393407 HID393407 HRZ393407 IBV393407 ILR393407 IVN393407 JFJ393407 JPF393407 JZB393407 KIX393407 KST393407 LCP393407 LML393407 LWH393407 MGD393407 MPZ393407 MZV393407 NJR393407 NTN393407 ODJ393407 ONF393407 OXB393407 PGX393407 PQT393407 QAP393407 QKL393407 QUH393407 RED393407 RNZ393407 RXV393407 SHR393407 SRN393407 TBJ393407 TLF393407 TVB393407 UEX393407 UOT393407 UYP393407 VIL393407 VSH393407 WCD393407 WLZ393407 WVV393407 N458943 JJ458943 TF458943 ADB458943 AMX458943 AWT458943 BGP458943 BQL458943 CAH458943 CKD458943 CTZ458943 DDV458943 DNR458943 DXN458943 EHJ458943 ERF458943 FBB458943 FKX458943 FUT458943 GEP458943 GOL458943 GYH458943 HID458943 HRZ458943 IBV458943 ILR458943 IVN458943 JFJ458943 JPF458943 JZB458943 KIX458943 KST458943 LCP458943 LML458943 LWH458943 MGD458943 MPZ458943 MZV458943 NJR458943 NTN458943 ODJ458943 ONF458943 OXB458943 PGX458943 PQT458943 QAP458943 QKL458943 QUH458943 RED458943 RNZ458943 RXV458943 SHR458943 SRN458943 TBJ458943 TLF458943 TVB458943 UEX458943 UOT458943 UYP458943 VIL458943 VSH458943 WCD458943 WLZ458943 WVV458943 N524479 JJ524479 TF524479 ADB524479 AMX524479 AWT524479 BGP524479 BQL524479 CAH524479 CKD524479 CTZ524479 DDV524479 DNR524479 DXN524479 EHJ524479 ERF524479 FBB524479 FKX524479 FUT524479 GEP524479 GOL524479 GYH524479 HID524479 HRZ524479 IBV524479 ILR524479 IVN524479 JFJ524479 JPF524479 JZB524479 KIX524479 KST524479 LCP524479 LML524479 LWH524479 MGD524479 MPZ524479 MZV524479 NJR524479 NTN524479 ODJ524479 ONF524479 OXB524479 PGX524479 PQT524479 QAP524479 QKL524479 QUH524479 RED524479 RNZ524479 RXV524479 SHR524479 SRN524479 TBJ524479 TLF524479 TVB524479 UEX524479 UOT524479 UYP524479 VIL524479 VSH524479 WCD524479 WLZ524479 WVV524479 N590015 JJ590015 TF590015 ADB590015 AMX590015 AWT590015 BGP590015 BQL590015 CAH590015 CKD590015 CTZ590015 DDV590015 DNR590015 DXN590015 EHJ590015 ERF590015 FBB590015 FKX590015 FUT590015 GEP590015 GOL590015 GYH590015 HID590015 HRZ590015 IBV590015 ILR590015 IVN590015 JFJ590015 JPF590015 JZB590015 KIX590015 KST590015 LCP590015 LML590015 LWH590015 MGD590015 MPZ590015 MZV590015 NJR590015 NTN590015 ODJ590015 ONF590015 OXB590015 PGX590015 PQT590015 QAP590015 QKL590015 QUH590015 RED590015 RNZ590015 RXV590015 SHR590015 SRN590015 TBJ590015 TLF590015 TVB590015 UEX590015 UOT590015 UYP590015 VIL590015 VSH590015 WCD590015 WLZ590015 WVV590015 N655551 JJ655551 TF655551 ADB655551 AMX655551 AWT655551 BGP655551 BQL655551 CAH655551 CKD655551 CTZ655551 DDV655551 DNR655551 DXN655551 EHJ655551 ERF655551 FBB655551 FKX655551 FUT655551 GEP655551 GOL655551 GYH655551 HID655551 HRZ655551 IBV655551 ILR655551 IVN655551 JFJ655551 JPF655551 JZB655551 KIX655551 KST655551 LCP655551 LML655551 LWH655551 MGD655551 MPZ655551 MZV655551 NJR655551 NTN655551 ODJ655551 ONF655551 OXB655551 PGX655551 PQT655551 QAP655551 QKL655551 QUH655551 RED655551 RNZ655551 RXV655551 SHR655551 SRN655551 TBJ655551 TLF655551 TVB655551 UEX655551 UOT655551 UYP655551 VIL655551 VSH655551 WCD655551 WLZ655551 WVV655551 N721087 JJ721087 TF721087 ADB721087 AMX721087 AWT721087 BGP721087 BQL721087 CAH721087 CKD721087 CTZ721087 DDV721087 DNR721087 DXN721087 EHJ721087 ERF721087 FBB721087 FKX721087 FUT721087 GEP721087 GOL721087 GYH721087 HID721087 HRZ721087 IBV721087 ILR721087 IVN721087 JFJ721087 JPF721087 JZB721087 KIX721087 KST721087 LCP721087 LML721087 LWH721087 MGD721087 MPZ721087 MZV721087 NJR721087 NTN721087 ODJ721087 ONF721087 OXB721087 PGX721087 PQT721087 QAP721087 QKL721087 QUH721087 RED721087 RNZ721087 RXV721087 SHR721087 SRN721087 TBJ721087 TLF721087 TVB721087 UEX721087 UOT721087 UYP721087 VIL721087 VSH721087 WCD721087 WLZ721087 WVV721087 N786623 JJ786623 TF786623 ADB786623 AMX786623 AWT786623 BGP786623 BQL786623 CAH786623 CKD786623 CTZ786623 DDV786623 DNR786623 DXN786623 EHJ786623 ERF786623 FBB786623 FKX786623 FUT786623 GEP786623 GOL786623 GYH786623 HID786623 HRZ786623 IBV786623 ILR786623 IVN786623 JFJ786623 JPF786623 JZB786623 KIX786623 KST786623 LCP786623 LML786623 LWH786623 MGD786623 MPZ786623 MZV786623 NJR786623 NTN786623 ODJ786623 ONF786623 OXB786623 PGX786623 PQT786623 QAP786623 QKL786623 QUH786623 RED786623 RNZ786623 RXV786623 SHR786623 SRN786623 TBJ786623 TLF786623 TVB786623 UEX786623 UOT786623 UYP786623 VIL786623 VSH786623 WCD786623 WLZ786623 WVV786623 N852159 JJ852159 TF852159 ADB852159 AMX852159 AWT852159 BGP852159 BQL852159 CAH852159 CKD852159 CTZ852159 DDV852159 DNR852159 DXN852159 EHJ852159 ERF852159 FBB852159 FKX852159 FUT852159 GEP852159 GOL852159 GYH852159 HID852159 HRZ852159 IBV852159 ILR852159 IVN852159 JFJ852159 JPF852159 JZB852159 KIX852159 KST852159 LCP852159 LML852159 LWH852159 MGD852159 MPZ852159 MZV852159 NJR852159 NTN852159 ODJ852159 ONF852159 OXB852159 PGX852159 PQT852159 QAP852159 QKL852159 QUH852159 RED852159 RNZ852159 RXV852159 SHR852159 SRN852159 TBJ852159 TLF852159 TVB852159 UEX852159 UOT852159 UYP852159 VIL852159 VSH852159 WCD852159 WLZ852159 WVV852159 N917695 JJ917695 TF917695 ADB917695 AMX917695 AWT917695 BGP917695 BQL917695 CAH917695 CKD917695 CTZ917695 DDV917695 DNR917695 DXN917695 EHJ917695 ERF917695 FBB917695 FKX917695 FUT917695 GEP917695 GOL917695 GYH917695 HID917695 HRZ917695 IBV917695 ILR917695 IVN917695 JFJ917695 JPF917695 JZB917695 KIX917695 KST917695 LCP917695 LML917695 LWH917695 MGD917695 MPZ917695 MZV917695 NJR917695 NTN917695 ODJ917695 ONF917695 OXB917695 PGX917695 PQT917695 QAP917695 QKL917695 QUH917695 RED917695 RNZ917695 RXV917695 SHR917695 SRN917695 TBJ917695 TLF917695 TVB917695 UEX917695 UOT917695 UYP917695 VIL917695 VSH917695 WCD917695 WLZ917695 WVV917695 N983231 JJ983231 TF983231 ADB983231 AMX983231 AWT983231 BGP983231 BQL983231 CAH983231 CKD983231 CTZ983231 DDV983231 DNR983231 DXN983231 EHJ983231 ERF983231 FBB983231 FKX983231 FUT983231 GEP983231 GOL983231 GYH983231 HID983231 HRZ983231 IBV983231 ILR983231 IVN983231 JFJ983231 JPF983231 JZB983231 KIX983231 KST983231 LCP983231 LML983231 LWH983231 MGD983231 MPZ983231 MZV983231 NJR983231 NTN983231 ODJ983231 ONF983231 OXB983231 PGX983231 PQT983231 QAP983231 QKL983231 QUH983231 RED983231 RNZ983231 RXV983231 SHR983231 SRN983231 TBJ983231 TLF983231 TVB983231 UEX983231 UOT983231 UYP983231 VIL983231 VSH983231 WCD983231 WLZ983231 WVV983231 N312 JJ312 TF312 ADB312 AMX312 AWT312 BGP312 BQL312 CAH312 CKD312 CTZ312 DDV312 DNR312 DXN312 EHJ312 ERF312 FBB312 FKX312 FUT312 GEP312 GOL312 GYH312 HID312 HRZ312 IBV312 ILR312 IVN312 JFJ312 JPF312 JZB312 KIX312 KST312 LCP312 LML312 LWH312 MGD312 MPZ312 MZV312 NJR312 NTN312 ODJ312 ONF312 OXB312 PGX312 PQT312 QAP312 QKL312 QUH312 RED312 RNZ312 RXV312 SHR312 SRN312 TBJ312 TLF312 TVB312 UEX312 UOT312 UYP312 VIL312 VSH312 WCD312 WLZ312 WVV312 N65848 JJ65848 TF65848 ADB65848 AMX65848 AWT65848 BGP65848 BQL65848 CAH65848 CKD65848 CTZ65848 DDV65848 DNR65848 DXN65848 EHJ65848 ERF65848 FBB65848 FKX65848 FUT65848 GEP65848 GOL65848 GYH65848 HID65848 HRZ65848 IBV65848 ILR65848 IVN65848 JFJ65848 JPF65848 JZB65848 KIX65848 KST65848 LCP65848 LML65848 LWH65848 MGD65848 MPZ65848 MZV65848 NJR65848 NTN65848 ODJ65848 ONF65848 OXB65848 PGX65848 PQT65848 QAP65848 QKL65848 QUH65848 RED65848 RNZ65848 RXV65848 SHR65848 SRN65848 TBJ65848 TLF65848 TVB65848 UEX65848 UOT65848 UYP65848 VIL65848 VSH65848 WCD65848 WLZ65848 WVV65848 N131384 JJ131384 TF131384 ADB131384 AMX131384 AWT131384 BGP131384 BQL131384 CAH131384 CKD131384 CTZ131384 DDV131384 DNR131384 DXN131384 EHJ131384 ERF131384 FBB131384 FKX131384 FUT131384 GEP131384 GOL131384 GYH131384 HID131384 HRZ131384 IBV131384 ILR131384 IVN131384 JFJ131384 JPF131384 JZB131384 KIX131384 KST131384 LCP131384 LML131384 LWH131384 MGD131384 MPZ131384 MZV131384 NJR131384 NTN131384 ODJ131384 ONF131384 OXB131384 PGX131384 PQT131384 QAP131384 QKL131384 QUH131384 RED131384 RNZ131384 RXV131384 SHR131384 SRN131384 TBJ131384 TLF131384 TVB131384 UEX131384 UOT131384 UYP131384 VIL131384 VSH131384 WCD131384 WLZ131384 WVV131384 N196920 JJ196920 TF196920 ADB196920 AMX196920 AWT196920 BGP196920 BQL196920 CAH196920 CKD196920 CTZ196920 DDV196920 DNR196920 DXN196920 EHJ196920 ERF196920 FBB196920 FKX196920 FUT196920 GEP196920 GOL196920 GYH196920 HID196920 HRZ196920 IBV196920 ILR196920 IVN196920 JFJ196920 JPF196920 JZB196920 KIX196920 KST196920 LCP196920 LML196920 LWH196920 MGD196920 MPZ196920 MZV196920 NJR196920 NTN196920 ODJ196920 ONF196920 OXB196920 PGX196920 PQT196920 QAP196920 QKL196920 QUH196920 RED196920 RNZ196920 RXV196920 SHR196920 SRN196920 TBJ196920 TLF196920 TVB196920 UEX196920 UOT196920 UYP196920 VIL196920 VSH196920 WCD196920 WLZ196920 WVV196920 N262456 JJ262456 TF262456 ADB262456 AMX262456 AWT262456 BGP262456 BQL262456 CAH262456 CKD262456 CTZ262456 DDV262456 DNR262456 DXN262456 EHJ262456 ERF262456 FBB262456 FKX262456 FUT262456 GEP262456 GOL262456 GYH262456 HID262456 HRZ262456 IBV262456 ILR262456 IVN262456 JFJ262456 JPF262456 JZB262456 KIX262456 KST262456 LCP262456 LML262456 LWH262456 MGD262456 MPZ262456 MZV262456 NJR262456 NTN262456 ODJ262456 ONF262456 OXB262456 PGX262456 PQT262456 QAP262456 QKL262456 QUH262456 RED262456 RNZ262456 RXV262456 SHR262456 SRN262456 TBJ262456 TLF262456 TVB262456 UEX262456 UOT262456 UYP262456 VIL262456 VSH262456 WCD262456 WLZ262456 WVV262456 N327992 JJ327992 TF327992 ADB327992 AMX327992 AWT327992 BGP327992 BQL327992 CAH327992 CKD327992 CTZ327992 DDV327992 DNR327992 DXN327992 EHJ327992 ERF327992 FBB327992 FKX327992 FUT327992 GEP327992 GOL327992 GYH327992 HID327992 HRZ327992 IBV327992 ILR327992 IVN327992 JFJ327992 JPF327992 JZB327992 KIX327992 KST327992 LCP327992 LML327992 LWH327992 MGD327992 MPZ327992 MZV327992 NJR327992 NTN327992 ODJ327992 ONF327992 OXB327992 PGX327992 PQT327992 QAP327992 QKL327992 QUH327992 RED327992 RNZ327992 RXV327992 SHR327992 SRN327992 TBJ327992 TLF327992 TVB327992 UEX327992 UOT327992 UYP327992 VIL327992 VSH327992 WCD327992 WLZ327992 WVV327992 N393528 JJ393528 TF393528 ADB393528 AMX393528 AWT393528 BGP393528 BQL393528 CAH393528 CKD393528 CTZ393528 DDV393528 DNR393528 DXN393528 EHJ393528 ERF393528 FBB393528 FKX393528 FUT393528 GEP393528 GOL393528 GYH393528 HID393528 HRZ393528 IBV393528 ILR393528 IVN393528 JFJ393528 JPF393528 JZB393528 KIX393528 KST393528 LCP393528 LML393528 LWH393528 MGD393528 MPZ393528 MZV393528 NJR393528 NTN393528 ODJ393528 ONF393528 OXB393528 PGX393528 PQT393528 QAP393528 QKL393528 QUH393528 RED393528 RNZ393528 RXV393528 SHR393528 SRN393528 TBJ393528 TLF393528 TVB393528 UEX393528 UOT393528 UYP393528 VIL393528 VSH393528 WCD393528 WLZ393528 WVV393528 N459064 JJ459064 TF459064 ADB459064 AMX459064 AWT459064 BGP459064 BQL459064 CAH459064 CKD459064 CTZ459064 DDV459064 DNR459064 DXN459064 EHJ459064 ERF459064 FBB459064 FKX459064 FUT459064 GEP459064 GOL459064 GYH459064 HID459064 HRZ459064 IBV459064 ILR459064 IVN459064 JFJ459064 JPF459064 JZB459064 KIX459064 KST459064 LCP459064 LML459064 LWH459064 MGD459064 MPZ459064 MZV459064 NJR459064 NTN459064 ODJ459064 ONF459064 OXB459064 PGX459064 PQT459064 QAP459064 QKL459064 QUH459064 RED459064 RNZ459064 RXV459064 SHR459064 SRN459064 TBJ459064 TLF459064 TVB459064 UEX459064 UOT459064 UYP459064 VIL459064 VSH459064 WCD459064 WLZ459064 WVV459064 N524600 JJ524600 TF524600 ADB524600 AMX524600 AWT524600 BGP524600 BQL524600 CAH524600 CKD524600 CTZ524600 DDV524600 DNR524600 DXN524600 EHJ524600 ERF524600 FBB524600 FKX524600 FUT524600 GEP524600 GOL524600 GYH524600 HID524600 HRZ524600 IBV524600 ILR524600 IVN524600 JFJ524600 JPF524600 JZB524600 KIX524600 KST524600 LCP524600 LML524600 LWH524600 MGD524600 MPZ524600 MZV524600 NJR524600 NTN524600 ODJ524600 ONF524600 OXB524600 PGX524600 PQT524600 QAP524600 QKL524600 QUH524600 RED524600 RNZ524600 RXV524600 SHR524600 SRN524600 TBJ524600 TLF524600 TVB524600 UEX524600 UOT524600 UYP524600 VIL524600 VSH524600 WCD524600 WLZ524600 WVV524600 N590136 JJ590136 TF590136 ADB590136 AMX590136 AWT590136 BGP590136 BQL590136 CAH590136 CKD590136 CTZ590136 DDV590136 DNR590136 DXN590136 EHJ590136 ERF590136 FBB590136 FKX590136 FUT590136 GEP590136 GOL590136 GYH590136 HID590136 HRZ590136 IBV590136 ILR590136 IVN590136 JFJ590136 JPF590136 JZB590136 KIX590136 KST590136 LCP590136 LML590136 LWH590136 MGD590136 MPZ590136 MZV590136 NJR590136 NTN590136 ODJ590136 ONF590136 OXB590136 PGX590136 PQT590136 QAP590136 QKL590136 QUH590136 RED590136 RNZ590136 RXV590136 SHR590136 SRN590136 TBJ590136 TLF590136 TVB590136 UEX590136 UOT590136 UYP590136 VIL590136 VSH590136 WCD590136 WLZ590136 WVV590136 N655672 JJ655672 TF655672 ADB655672 AMX655672 AWT655672 BGP655672 BQL655672 CAH655672 CKD655672 CTZ655672 DDV655672 DNR655672 DXN655672 EHJ655672 ERF655672 FBB655672 FKX655672 FUT655672 GEP655672 GOL655672 GYH655672 HID655672 HRZ655672 IBV655672 ILR655672 IVN655672 JFJ655672 JPF655672 JZB655672 KIX655672 KST655672 LCP655672 LML655672 LWH655672 MGD655672 MPZ655672 MZV655672 NJR655672 NTN655672 ODJ655672 ONF655672 OXB655672 PGX655672 PQT655672 QAP655672 QKL655672 QUH655672 RED655672 RNZ655672 RXV655672 SHR655672 SRN655672 TBJ655672 TLF655672 TVB655672 UEX655672 UOT655672 UYP655672 VIL655672 VSH655672 WCD655672 WLZ655672 WVV655672 N721208 JJ721208 TF721208 ADB721208 AMX721208 AWT721208 BGP721208 BQL721208 CAH721208 CKD721208 CTZ721208 DDV721208 DNR721208 DXN721208 EHJ721208 ERF721208 FBB721208 FKX721208 FUT721208 GEP721208 GOL721208 GYH721208 HID721208 HRZ721208 IBV721208 ILR721208 IVN721208 JFJ721208 JPF721208 JZB721208 KIX721208 KST721208 LCP721208 LML721208 LWH721208 MGD721208 MPZ721208 MZV721208 NJR721208 NTN721208 ODJ721208 ONF721208 OXB721208 PGX721208 PQT721208 QAP721208 QKL721208 QUH721208 RED721208 RNZ721208 RXV721208 SHR721208 SRN721208 TBJ721208 TLF721208 TVB721208 UEX721208 UOT721208 UYP721208 VIL721208 VSH721208 WCD721208 WLZ721208 WVV721208 N786744 JJ786744 TF786744 ADB786744 AMX786744 AWT786744 BGP786744 BQL786744 CAH786744 CKD786744 CTZ786744 DDV786744 DNR786744 DXN786744 EHJ786744 ERF786744 FBB786744 FKX786744 FUT786744 GEP786744 GOL786744 GYH786744 HID786744 HRZ786744 IBV786744 ILR786744 IVN786744 JFJ786744 JPF786744 JZB786744 KIX786744 KST786744 LCP786744 LML786744 LWH786744 MGD786744 MPZ786744 MZV786744 NJR786744 NTN786744 ODJ786744 ONF786744 OXB786744 PGX786744 PQT786744 QAP786744 QKL786744 QUH786744 RED786744 RNZ786744 RXV786744 SHR786744 SRN786744 TBJ786744 TLF786744 TVB786744 UEX786744 UOT786744 UYP786744 VIL786744 VSH786744 WCD786744 WLZ786744 WVV786744 N852280 JJ852280 TF852280 ADB852280 AMX852280 AWT852280 BGP852280 BQL852280 CAH852280 CKD852280 CTZ852280 DDV852280 DNR852280 DXN852280 EHJ852280 ERF852280 FBB852280 FKX852280 FUT852280 GEP852280 GOL852280 GYH852280 HID852280 HRZ852280 IBV852280 ILR852280 IVN852280 JFJ852280 JPF852280 JZB852280 KIX852280 KST852280 LCP852280 LML852280 LWH852280 MGD852280 MPZ852280 MZV852280 NJR852280 NTN852280 ODJ852280 ONF852280 OXB852280 PGX852280 PQT852280 QAP852280 QKL852280 QUH852280 RED852280 RNZ852280 RXV852280 SHR852280 SRN852280 TBJ852280 TLF852280 TVB852280 UEX852280 UOT852280 UYP852280 VIL852280 VSH852280 WCD852280 WLZ852280 WVV852280 N917816 JJ917816 TF917816 ADB917816 AMX917816 AWT917816 BGP917816 BQL917816 CAH917816 CKD917816 CTZ917816 DDV917816 DNR917816 DXN917816 EHJ917816 ERF917816 FBB917816 FKX917816 FUT917816 GEP917816 GOL917816 GYH917816 HID917816 HRZ917816 IBV917816 ILR917816 IVN917816 JFJ917816 JPF917816 JZB917816 KIX917816 KST917816 LCP917816 LML917816 LWH917816 MGD917816 MPZ917816 MZV917816 NJR917816 NTN917816 ODJ917816 ONF917816 OXB917816 PGX917816 PQT917816 QAP917816 QKL917816 QUH917816 RED917816 RNZ917816 RXV917816 SHR917816 SRN917816 TBJ917816 TLF917816 TVB917816 UEX917816 UOT917816 UYP917816 VIL917816 VSH917816 WCD917816 WLZ917816 WVV917816 N983352 JJ983352 TF983352 ADB983352 AMX983352 AWT983352 BGP983352 BQL983352 CAH983352 CKD983352 CTZ983352 DDV983352 DNR983352 DXN983352 EHJ983352 ERF983352 FBB983352 FKX983352 FUT983352 GEP983352 GOL983352 GYH983352 HID983352 HRZ983352 IBV983352 ILR983352 IVN983352 JFJ983352 JPF983352 JZB983352 KIX983352 KST983352 LCP983352 LML983352 LWH983352 MGD983352 MPZ983352 MZV983352 NJR983352 NTN983352 ODJ983352 ONF983352 OXB983352 PGX983352 PQT983352 QAP983352 QKL983352 QUH983352 RED983352 RNZ983352 RXV983352 SHR983352 SRN983352 TBJ983352 TLF983352 TVB983352 UEX983352 UOT983352 UYP983352 VIL983352 VSH983352 WCD983352 WLZ983352 WVV983352 N314 JJ314 TF314 ADB314 AMX314 AWT314 BGP314 BQL314 CAH314 CKD314 CTZ314 DDV314 DNR314 DXN314 EHJ314 ERF314 FBB314 FKX314 FUT314 GEP314 GOL314 GYH314 HID314 HRZ314 IBV314 ILR314 IVN314 JFJ314 JPF314 JZB314 KIX314 KST314 LCP314 LML314 LWH314 MGD314 MPZ314 MZV314 NJR314 NTN314 ODJ314 ONF314 OXB314 PGX314 PQT314 QAP314 QKL314 QUH314 RED314 RNZ314 RXV314 SHR314 SRN314 TBJ314 TLF314 TVB314 UEX314 UOT314 UYP314 VIL314 VSH314 WCD314 WLZ314 WVV314 N65850 JJ65850 TF65850 ADB65850 AMX65850 AWT65850 BGP65850 BQL65850 CAH65850 CKD65850 CTZ65850 DDV65850 DNR65850 DXN65850 EHJ65850 ERF65850 FBB65850 FKX65850 FUT65850 GEP65850 GOL65850 GYH65850 HID65850 HRZ65850 IBV65850 ILR65850 IVN65850 JFJ65850 JPF65850 JZB65850 KIX65850 KST65850 LCP65850 LML65850 LWH65850 MGD65850 MPZ65850 MZV65850 NJR65850 NTN65850 ODJ65850 ONF65850 OXB65850 PGX65850 PQT65850 QAP65850 QKL65850 QUH65850 RED65850 RNZ65850 RXV65850 SHR65850 SRN65850 TBJ65850 TLF65850 TVB65850 UEX65850 UOT65850 UYP65850 VIL65850 VSH65850 WCD65850 WLZ65850 WVV65850 N131386 JJ131386 TF131386 ADB131386 AMX131386 AWT131386 BGP131386 BQL131386 CAH131386 CKD131386 CTZ131386 DDV131386 DNR131386 DXN131386 EHJ131386 ERF131386 FBB131386 FKX131386 FUT131386 GEP131386 GOL131386 GYH131386 HID131386 HRZ131386 IBV131386 ILR131386 IVN131386 JFJ131386 JPF131386 JZB131386 KIX131386 KST131386 LCP131386 LML131386 LWH131386 MGD131386 MPZ131386 MZV131386 NJR131386 NTN131386 ODJ131386 ONF131386 OXB131386 PGX131386 PQT131386 QAP131386 QKL131386 QUH131386 RED131386 RNZ131386 RXV131386 SHR131386 SRN131386 TBJ131386 TLF131386 TVB131386 UEX131386 UOT131386 UYP131386 VIL131386 VSH131386 WCD131386 WLZ131386 WVV131386 N196922 JJ196922 TF196922 ADB196922 AMX196922 AWT196922 BGP196922 BQL196922 CAH196922 CKD196922 CTZ196922 DDV196922 DNR196922 DXN196922 EHJ196922 ERF196922 FBB196922 FKX196922 FUT196922 GEP196922 GOL196922 GYH196922 HID196922 HRZ196922 IBV196922 ILR196922 IVN196922 JFJ196922 JPF196922 JZB196922 KIX196922 KST196922 LCP196922 LML196922 LWH196922 MGD196922 MPZ196922 MZV196922 NJR196922 NTN196922 ODJ196922 ONF196922 OXB196922 PGX196922 PQT196922 QAP196922 QKL196922 QUH196922 RED196922 RNZ196922 RXV196922 SHR196922 SRN196922 TBJ196922 TLF196922 TVB196922 UEX196922 UOT196922 UYP196922 VIL196922 VSH196922 WCD196922 WLZ196922 WVV196922 N262458 JJ262458 TF262458 ADB262458 AMX262458 AWT262458 BGP262458 BQL262458 CAH262458 CKD262458 CTZ262458 DDV262458 DNR262458 DXN262458 EHJ262458 ERF262458 FBB262458 FKX262458 FUT262458 GEP262458 GOL262458 GYH262458 HID262458 HRZ262458 IBV262458 ILR262458 IVN262458 JFJ262458 JPF262458 JZB262458 KIX262458 KST262458 LCP262458 LML262458 LWH262458 MGD262458 MPZ262458 MZV262458 NJR262458 NTN262458 ODJ262458 ONF262458 OXB262458 PGX262458 PQT262458 QAP262458 QKL262458 QUH262458 RED262458 RNZ262458 RXV262458 SHR262458 SRN262458 TBJ262458 TLF262458 TVB262458 UEX262458 UOT262458 UYP262458 VIL262458 VSH262458 WCD262458 WLZ262458 WVV262458 N327994 JJ327994 TF327994 ADB327994 AMX327994 AWT327994 BGP327994 BQL327994 CAH327994 CKD327994 CTZ327994 DDV327994 DNR327994 DXN327994 EHJ327994 ERF327994 FBB327994 FKX327994 FUT327994 GEP327994 GOL327994 GYH327994 HID327994 HRZ327994 IBV327994 ILR327994 IVN327994 JFJ327994 JPF327994 JZB327994 KIX327994 KST327994 LCP327994 LML327994 LWH327994 MGD327994 MPZ327994 MZV327994 NJR327994 NTN327994 ODJ327994 ONF327994 OXB327994 PGX327994 PQT327994 QAP327994 QKL327994 QUH327994 RED327994 RNZ327994 RXV327994 SHR327994 SRN327994 TBJ327994 TLF327994 TVB327994 UEX327994 UOT327994 UYP327994 VIL327994 VSH327994 WCD327994 WLZ327994 WVV327994 N393530 JJ393530 TF393530 ADB393530 AMX393530 AWT393530 BGP393530 BQL393530 CAH393530 CKD393530 CTZ393530 DDV393530 DNR393530 DXN393530 EHJ393530 ERF393530 FBB393530 FKX393530 FUT393530 GEP393530 GOL393530 GYH393530 HID393530 HRZ393530 IBV393530 ILR393530 IVN393530 JFJ393530 JPF393530 JZB393530 KIX393530 KST393530 LCP393530 LML393530 LWH393530 MGD393530 MPZ393530 MZV393530 NJR393530 NTN393530 ODJ393530 ONF393530 OXB393530 PGX393530 PQT393530 QAP393530 QKL393530 QUH393530 RED393530 RNZ393530 RXV393530 SHR393530 SRN393530 TBJ393530 TLF393530 TVB393530 UEX393530 UOT393530 UYP393530 VIL393530 VSH393530 WCD393530 WLZ393530 WVV393530 N459066 JJ459066 TF459066 ADB459066 AMX459066 AWT459066 BGP459066 BQL459066 CAH459066 CKD459066 CTZ459066 DDV459066 DNR459066 DXN459066 EHJ459066 ERF459066 FBB459066 FKX459066 FUT459066 GEP459066 GOL459066 GYH459066 HID459066 HRZ459066 IBV459066 ILR459066 IVN459066 JFJ459066 JPF459066 JZB459066 KIX459066 KST459066 LCP459066 LML459066 LWH459066 MGD459066 MPZ459066 MZV459066 NJR459066 NTN459066 ODJ459066 ONF459066 OXB459066 PGX459066 PQT459066 QAP459066 QKL459066 QUH459066 RED459066 RNZ459066 RXV459066 SHR459066 SRN459066 TBJ459066 TLF459066 TVB459066 UEX459066 UOT459066 UYP459066 VIL459066 VSH459066 WCD459066 WLZ459066 WVV459066 N524602 JJ524602 TF524602 ADB524602 AMX524602 AWT524602 BGP524602 BQL524602 CAH524602 CKD524602 CTZ524602 DDV524602 DNR524602 DXN524602 EHJ524602 ERF524602 FBB524602 FKX524602 FUT524602 GEP524602 GOL524602 GYH524602 HID524602 HRZ524602 IBV524602 ILR524602 IVN524602 JFJ524602 JPF524602 JZB524602 KIX524602 KST524602 LCP524602 LML524602 LWH524602 MGD524602 MPZ524602 MZV524602 NJR524602 NTN524602 ODJ524602 ONF524602 OXB524602 PGX524602 PQT524602 QAP524602 QKL524602 QUH524602 RED524602 RNZ524602 RXV524602 SHR524602 SRN524602 TBJ524602 TLF524602 TVB524602 UEX524602 UOT524602 UYP524602 VIL524602 VSH524602 WCD524602 WLZ524602 WVV524602 N590138 JJ590138 TF590138 ADB590138 AMX590138 AWT590138 BGP590138 BQL590138 CAH590138 CKD590138 CTZ590138 DDV590138 DNR590138 DXN590138 EHJ590138 ERF590138 FBB590138 FKX590138 FUT590138 GEP590138 GOL590138 GYH590138 HID590138 HRZ590138 IBV590138 ILR590138 IVN590138 JFJ590138 JPF590138 JZB590138 KIX590138 KST590138 LCP590138 LML590138 LWH590138 MGD590138 MPZ590138 MZV590138 NJR590138 NTN590138 ODJ590138 ONF590138 OXB590138 PGX590138 PQT590138 QAP590138 QKL590138 QUH590138 RED590138 RNZ590138 RXV590138 SHR590138 SRN590138 TBJ590138 TLF590138 TVB590138 UEX590138 UOT590138 UYP590138 VIL590138 VSH590138 WCD590138 WLZ590138 WVV590138 N655674 JJ655674 TF655674 ADB655674 AMX655674 AWT655674 BGP655674 BQL655674 CAH655674 CKD655674 CTZ655674 DDV655674 DNR655674 DXN655674 EHJ655674 ERF655674 FBB655674 FKX655674 FUT655674 GEP655674 GOL655674 GYH655674 HID655674 HRZ655674 IBV655674 ILR655674 IVN655674 JFJ655674 JPF655674 JZB655674 KIX655674 KST655674 LCP655674 LML655674 LWH655674 MGD655674 MPZ655674 MZV655674 NJR655674 NTN655674 ODJ655674 ONF655674 OXB655674 PGX655674 PQT655674 QAP655674 QKL655674 QUH655674 RED655674 RNZ655674 RXV655674 SHR655674 SRN655674 TBJ655674 TLF655674 TVB655674 UEX655674 UOT655674 UYP655674 VIL655674 VSH655674 WCD655674 WLZ655674 WVV655674 N721210 JJ721210 TF721210 ADB721210 AMX721210 AWT721210 BGP721210 BQL721210 CAH721210 CKD721210 CTZ721210 DDV721210 DNR721210 DXN721210 EHJ721210 ERF721210 FBB721210 FKX721210 FUT721210 GEP721210 GOL721210 GYH721210 HID721210 HRZ721210 IBV721210 ILR721210 IVN721210 JFJ721210 JPF721210 JZB721210 KIX721210 KST721210 LCP721210 LML721210 LWH721210 MGD721210 MPZ721210 MZV721210 NJR721210 NTN721210 ODJ721210 ONF721210 OXB721210 PGX721210 PQT721210 QAP721210 QKL721210 QUH721210 RED721210 RNZ721210 RXV721210 SHR721210 SRN721210 TBJ721210 TLF721210 TVB721210 UEX721210 UOT721210 UYP721210 VIL721210 VSH721210 WCD721210 WLZ721210 WVV721210 N786746 JJ786746 TF786746 ADB786746 AMX786746 AWT786746 BGP786746 BQL786746 CAH786746 CKD786746 CTZ786746 DDV786746 DNR786746 DXN786746 EHJ786746 ERF786746 FBB786746 FKX786746 FUT786746 GEP786746 GOL786746 GYH786746 HID786746 HRZ786746 IBV786746 ILR786746 IVN786746 JFJ786746 JPF786746 JZB786746 KIX786746 KST786746 LCP786746 LML786746 LWH786746 MGD786746 MPZ786746 MZV786746 NJR786746 NTN786746 ODJ786746 ONF786746 OXB786746 PGX786746 PQT786746 QAP786746 QKL786746 QUH786746 RED786746 RNZ786746 RXV786746 SHR786746 SRN786746 TBJ786746 TLF786746 TVB786746 UEX786746 UOT786746 UYP786746 VIL786746 VSH786746 WCD786746 WLZ786746 WVV786746 N852282 JJ852282 TF852282 ADB852282 AMX852282 AWT852282 BGP852282 BQL852282 CAH852282 CKD852282 CTZ852282 DDV852282 DNR852282 DXN852282 EHJ852282 ERF852282 FBB852282 FKX852282 FUT852282 GEP852282 GOL852282 GYH852282 HID852282 HRZ852282 IBV852282 ILR852282 IVN852282 JFJ852282 JPF852282 JZB852282 KIX852282 KST852282 LCP852282 LML852282 LWH852282 MGD852282 MPZ852282 MZV852282 NJR852282 NTN852282 ODJ852282 ONF852282 OXB852282 PGX852282 PQT852282 QAP852282 QKL852282 QUH852282 RED852282 RNZ852282 RXV852282 SHR852282 SRN852282 TBJ852282 TLF852282 TVB852282 UEX852282 UOT852282 UYP852282 VIL852282 VSH852282 WCD852282 WLZ852282 WVV852282 N917818 JJ917818 TF917818 ADB917818 AMX917818 AWT917818 BGP917818 BQL917818 CAH917818 CKD917818 CTZ917818 DDV917818 DNR917818 DXN917818 EHJ917818 ERF917818 FBB917818 FKX917818 FUT917818 GEP917818 GOL917818 GYH917818 HID917818 HRZ917818 IBV917818 ILR917818 IVN917818 JFJ917818 JPF917818 JZB917818 KIX917818 KST917818 LCP917818 LML917818 LWH917818 MGD917818 MPZ917818 MZV917818 NJR917818 NTN917818 ODJ917818 ONF917818 OXB917818 PGX917818 PQT917818 QAP917818 QKL917818 QUH917818 RED917818 RNZ917818 RXV917818 SHR917818 SRN917818 TBJ917818 TLF917818 TVB917818 UEX917818 UOT917818 UYP917818 VIL917818 VSH917818 WCD917818 WLZ917818 WVV917818 N983354 JJ983354 TF983354 ADB983354 AMX983354 AWT983354 BGP983354 BQL983354 CAH983354 CKD983354 CTZ983354 DDV983354 DNR983354 DXN983354 EHJ983354 ERF983354 FBB983354 FKX983354 FUT983354 GEP983354 GOL983354 GYH983354 HID983354 HRZ983354 IBV983354 ILR983354 IVN983354 JFJ983354 JPF983354 JZB983354 KIX983354 KST983354 LCP983354 LML983354 LWH983354 MGD983354 MPZ983354 MZV983354 NJR983354 NTN983354 ODJ983354 ONF983354 OXB983354 PGX983354 PQT983354 QAP983354 QKL983354 QUH983354 RED983354 RNZ983354 RXV983354 SHR983354 SRN983354 TBJ983354 TLF983354 TVB983354 UEX983354 UOT983354 UYP983354 VIL983354 VSH983354 WCD983354 WLZ983354 WVV983354 N318 JJ318 TF318 ADB318 AMX318 AWT318 BGP318 BQL318 CAH318 CKD318 CTZ318 DDV318 DNR318 DXN318 EHJ318 ERF318 FBB318 FKX318 FUT318 GEP318 GOL318 GYH318 HID318 HRZ318 IBV318 ILR318 IVN318 JFJ318 JPF318 JZB318 KIX318 KST318 LCP318 LML318 LWH318 MGD318 MPZ318 MZV318 NJR318 NTN318 ODJ318 ONF318 OXB318 PGX318 PQT318 QAP318 QKL318 QUH318 RED318 RNZ318 RXV318 SHR318 SRN318 TBJ318 TLF318 TVB318 UEX318 UOT318 UYP318 VIL318 VSH318 WCD318 WLZ318 WVV318 N65854 JJ65854 TF65854 ADB65854 AMX65854 AWT65854 BGP65854 BQL65854 CAH65854 CKD65854 CTZ65854 DDV65854 DNR65854 DXN65854 EHJ65854 ERF65854 FBB65854 FKX65854 FUT65854 GEP65854 GOL65854 GYH65854 HID65854 HRZ65854 IBV65854 ILR65854 IVN65854 JFJ65854 JPF65854 JZB65854 KIX65854 KST65854 LCP65854 LML65854 LWH65854 MGD65854 MPZ65854 MZV65854 NJR65854 NTN65854 ODJ65854 ONF65854 OXB65854 PGX65854 PQT65854 QAP65854 QKL65854 QUH65854 RED65854 RNZ65854 RXV65854 SHR65854 SRN65854 TBJ65854 TLF65854 TVB65854 UEX65854 UOT65854 UYP65854 VIL65854 VSH65854 WCD65854 WLZ65854 WVV65854 N131390 JJ131390 TF131390 ADB131390 AMX131390 AWT131390 BGP131390 BQL131390 CAH131390 CKD131390 CTZ131390 DDV131390 DNR131390 DXN131390 EHJ131390 ERF131390 FBB131390 FKX131390 FUT131390 GEP131390 GOL131390 GYH131390 HID131390 HRZ131390 IBV131390 ILR131390 IVN131390 JFJ131390 JPF131390 JZB131390 KIX131390 KST131390 LCP131390 LML131390 LWH131390 MGD131390 MPZ131390 MZV131390 NJR131390 NTN131390 ODJ131390 ONF131390 OXB131390 PGX131390 PQT131390 QAP131390 QKL131390 QUH131390 RED131390 RNZ131390 RXV131390 SHR131390 SRN131390 TBJ131390 TLF131390 TVB131390 UEX131390 UOT131390 UYP131390 VIL131390 VSH131390 WCD131390 WLZ131390 WVV131390 N196926 JJ196926 TF196926 ADB196926 AMX196926 AWT196926 BGP196926 BQL196926 CAH196926 CKD196926 CTZ196926 DDV196926 DNR196926 DXN196926 EHJ196926 ERF196926 FBB196926 FKX196926 FUT196926 GEP196926 GOL196926 GYH196926 HID196926 HRZ196926 IBV196926 ILR196926 IVN196926 JFJ196926 JPF196926 JZB196926 KIX196926 KST196926 LCP196926 LML196926 LWH196926 MGD196926 MPZ196926 MZV196926 NJR196926 NTN196926 ODJ196926 ONF196926 OXB196926 PGX196926 PQT196926 QAP196926 QKL196926 QUH196926 RED196926 RNZ196926 RXV196926 SHR196926 SRN196926 TBJ196926 TLF196926 TVB196926 UEX196926 UOT196926 UYP196926 VIL196926 VSH196926 WCD196926 WLZ196926 WVV196926 N262462 JJ262462 TF262462 ADB262462 AMX262462 AWT262462 BGP262462 BQL262462 CAH262462 CKD262462 CTZ262462 DDV262462 DNR262462 DXN262462 EHJ262462 ERF262462 FBB262462 FKX262462 FUT262462 GEP262462 GOL262462 GYH262462 HID262462 HRZ262462 IBV262462 ILR262462 IVN262462 JFJ262462 JPF262462 JZB262462 KIX262462 KST262462 LCP262462 LML262462 LWH262462 MGD262462 MPZ262462 MZV262462 NJR262462 NTN262462 ODJ262462 ONF262462 OXB262462 PGX262462 PQT262462 QAP262462 QKL262462 QUH262462 RED262462 RNZ262462 RXV262462 SHR262462 SRN262462 TBJ262462 TLF262462 TVB262462 UEX262462 UOT262462 UYP262462 VIL262462 VSH262462 WCD262462 WLZ262462 WVV262462 N327998 JJ327998 TF327998 ADB327998 AMX327998 AWT327998 BGP327998 BQL327998 CAH327998 CKD327998 CTZ327998 DDV327998 DNR327998 DXN327998 EHJ327998 ERF327998 FBB327998 FKX327998 FUT327998 GEP327998 GOL327998 GYH327998 HID327998 HRZ327998 IBV327998 ILR327998 IVN327998 JFJ327998 JPF327998 JZB327998 KIX327998 KST327998 LCP327998 LML327998 LWH327998 MGD327998 MPZ327998 MZV327998 NJR327998 NTN327998 ODJ327998 ONF327998 OXB327998 PGX327998 PQT327998 QAP327998 QKL327998 QUH327998 RED327998 RNZ327998 RXV327998 SHR327998 SRN327998 TBJ327998 TLF327998 TVB327998 UEX327998 UOT327998 UYP327998 VIL327998 VSH327998 WCD327998 WLZ327998 WVV327998 N393534 JJ393534 TF393534 ADB393534 AMX393534 AWT393534 BGP393534 BQL393534 CAH393534 CKD393534 CTZ393534 DDV393534 DNR393534 DXN393534 EHJ393534 ERF393534 FBB393534 FKX393534 FUT393534 GEP393534 GOL393534 GYH393534 HID393534 HRZ393534 IBV393534 ILR393534 IVN393534 JFJ393534 JPF393534 JZB393534 KIX393534 KST393534 LCP393534 LML393534 LWH393534 MGD393534 MPZ393534 MZV393534 NJR393534 NTN393534 ODJ393534 ONF393534 OXB393534 PGX393534 PQT393534 QAP393534 QKL393534 QUH393534 RED393534 RNZ393534 RXV393534 SHR393534 SRN393534 TBJ393534 TLF393534 TVB393534 UEX393534 UOT393534 UYP393534 VIL393534 VSH393534 WCD393534 WLZ393534 WVV393534 N459070 JJ459070 TF459070 ADB459070 AMX459070 AWT459070 BGP459070 BQL459070 CAH459070 CKD459070 CTZ459070 DDV459070 DNR459070 DXN459070 EHJ459070 ERF459070 FBB459070 FKX459070 FUT459070 GEP459070 GOL459070 GYH459070 HID459070 HRZ459070 IBV459070 ILR459070 IVN459070 JFJ459070 JPF459070 JZB459070 KIX459070 KST459070 LCP459070 LML459070 LWH459070 MGD459070 MPZ459070 MZV459070 NJR459070 NTN459070 ODJ459070 ONF459070 OXB459070 PGX459070 PQT459070 QAP459070 QKL459070 QUH459070 RED459070 RNZ459070 RXV459070 SHR459070 SRN459070 TBJ459070 TLF459070 TVB459070 UEX459070 UOT459070 UYP459070 VIL459070 VSH459070 WCD459070 WLZ459070 WVV459070 N524606 JJ524606 TF524606 ADB524606 AMX524606 AWT524606 BGP524606 BQL524606 CAH524606 CKD524606 CTZ524606 DDV524606 DNR524606 DXN524606 EHJ524606 ERF524606 FBB524606 FKX524606 FUT524606 GEP524606 GOL524606 GYH524606 HID524606 HRZ524606 IBV524606 ILR524606 IVN524606 JFJ524606 JPF524606 JZB524606 KIX524606 KST524606 LCP524606 LML524606 LWH524606 MGD524606 MPZ524606 MZV524606 NJR524606 NTN524606 ODJ524606 ONF524606 OXB524606 PGX524606 PQT524606 QAP524606 QKL524606 QUH524606 RED524606 RNZ524606 RXV524606 SHR524606 SRN524606 TBJ524606 TLF524606 TVB524606 UEX524606 UOT524606 UYP524606 VIL524606 VSH524606 WCD524606 WLZ524606 WVV524606 N590142 JJ590142 TF590142 ADB590142 AMX590142 AWT590142 BGP590142 BQL590142 CAH590142 CKD590142 CTZ590142 DDV590142 DNR590142 DXN590142 EHJ590142 ERF590142 FBB590142 FKX590142 FUT590142 GEP590142 GOL590142 GYH590142 HID590142 HRZ590142 IBV590142 ILR590142 IVN590142 JFJ590142 JPF590142 JZB590142 KIX590142 KST590142 LCP590142 LML590142 LWH590142 MGD590142 MPZ590142 MZV590142 NJR590142 NTN590142 ODJ590142 ONF590142 OXB590142 PGX590142 PQT590142 QAP590142 QKL590142 QUH590142 RED590142 RNZ590142 RXV590142 SHR590142 SRN590142 TBJ590142 TLF590142 TVB590142 UEX590142 UOT590142 UYP590142 VIL590142 VSH590142 WCD590142 WLZ590142 WVV590142 N655678 JJ655678 TF655678 ADB655678 AMX655678 AWT655678 BGP655678 BQL655678 CAH655678 CKD655678 CTZ655678 DDV655678 DNR655678 DXN655678 EHJ655678 ERF655678 FBB655678 FKX655678 FUT655678 GEP655678 GOL655678 GYH655678 HID655678 HRZ655678 IBV655678 ILR655678 IVN655678 JFJ655678 JPF655678 JZB655678 KIX655678 KST655678 LCP655678 LML655678 LWH655678 MGD655678 MPZ655678 MZV655678 NJR655678 NTN655678 ODJ655678 ONF655678 OXB655678 PGX655678 PQT655678 QAP655678 QKL655678 QUH655678 RED655678 RNZ655678 RXV655678 SHR655678 SRN655678 TBJ655678 TLF655678 TVB655678 UEX655678 UOT655678 UYP655678 VIL655678 VSH655678 WCD655678 WLZ655678 WVV655678 N721214 JJ721214 TF721214 ADB721214 AMX721214 AWT721214 BGP721214 BQL721214 CAH721214 CKD721214 CTZ721214 DDV721214 DNR721214 DXN721214 EHJ721214 ERF721214 FBB721214 FKX721214 FUT721214 GEP721214 GOL721214 GYH721214 HID721214 HRZ721214 IBV721214 ILR721214 IVN721214 JFJ721214 JPF721214 JZB721214 KIX721214 KST721214 LCP721214 LML721214 LWH721214 MGD721214 MPZ721214 MZV721214 NJR721214 NTN721214 ODJ721214 ONF721214 OXB721214 PGX721214 PQT721214 QAP721214 QKL721214 QUH721214 RED721214 RNZ721214 RXV721214 SHR721214 SRN721214 TBJ721214 TLF721214 TVB721214 UEX721214 UOT721214 UYP721214 VIL721214 VSH721214 WCD721214 WLZ721214 WVV721214 N786750 JJ786750 TF786750 ADB786750 AMX786750 AWT786750 BGP786750 BQL786750 CAH786750 CKD786750 CTZ786750 DDV786750 DNR786750 DXN786750 EHJ786750 ERF786750 FBB786750 FKX786750 FUT786750 GEP786750 GOL786750 GYH786750 HID786750 HRZ786750 IBV786750 ILR786750 IVN786750 JFJ786750 JPF786750 JZB786750 KIX786750 KST786750 LCP786750 LML786750 LWH786750 MGD786750 MPZ786750 MZV786750 NJR786750 NTN786750 ODJ786750 ONF786750 OXB786750 PGX786750 PQT786750 QAP786750 QKL786750 QUH786750 RED786750 RNZ786750 RXV786750 SHR786750 SRN786750 TBJ786750 TLF786750 TVB786750 UEX786750 UOT786750 UYP786750 VIL786750 VSH786750 WCD786750 WLZ786750 WVV786750 N852286 JJ852286 TF852286 ADB852286 AMX852286 AWT852286 BGP852286 BQL852286 CAH852286 CKD852286 CTZ852286 DDV852286 DNR852286 DXN852286 EHJ852286 ERF852286 FBB852286 FKX852286 FUT852286 GEP852286 GOL852286 GYH852286 HID852286 HRZ852286 IBV852286 ILR852286 IVN852286 JFJ852286 JPF852286 JZB852286 KIX852286 KST852286 LCP852286 LML852286 LWH852286 MGD852286 MPZ852286 MZV852286 NJR852286 NTN852286 ODJ852286 ONF852286 OXB852286 PGX852286 PQT852286 QAP852286 QKL852286 QUH852286 RED852286 RNZ852286 RXV852286 SHR852286 SRN852286 TBJ852286 TLF852286 TVB852286 UEX852286 UOT852286 UYP852286 VIL852286 VSH852286 WCD852286 WLZ852286 WVV852286 N917822 JJ917822 TF917822 ADB917822 AMX917822 AWT917822 BGP917822 BQL917822 CAH917822 CKD917822 CTZ917822 DDV917822 DNR917822 DXN917822 EHJ917822 ERF917822 FBB917822 FKX917822 FUT917822 GEP917822 GOL917822 GYH917822 HID917822 HRZ917822 IBV917822 ILR917822 IVN917822 JFJ917822 JPF917822 JZB917822 KIX917822 KST917822 LCP917822 LML917822 LWH917822 MGD917822 MPZ917822 MZV917822 NJR917822 NTN917822 ODJ917822 ONF917822 OXB917822 PGX917822 PQT917822 QAP917822 QKL917822 QUH917822 RED917822 RNZ917822 RXV917822 SHR917822 SRN917822 TBJ917822 TLF917822 TVB917822 UEX917822 UOT917822 UYP917822 VIL917822 VSH917822 WCD917822 WLZ917822 WVV917822 N983358 JJ983358 TF983358 ADB983358 AMX983358 AWT983358 BGP983358 BQL983358 CAH983358 CKD983358 CTZ983358 DDV983358 DNR983358 DXN983358 EHJ983358 ERF983358 FBB983358 FKX983358 FUT983358 GEP983358 GOL983358 GYH983358 HID983358 HRZ983358 IBV983358 ILR983358 IVN983358 JFJ983358 JPF983358 JZB983358 KIX983358 KST983358 LCP983358 LML983358 LWH983358 MGD983358 MPZ983358 MZV983358 NJR983358 NTN983358 ODJ983358 ONF983358 OXB983358 PGX983358 PQT983358 QAP983358 QKL983358 QUH983358 RED983358 RNZ983358 RXV983358 SHR983358 SRN983358 TBJ983358 TLF983358 TVB983358 UEX983358 UOT983358 UYP983358 VIL983358 VSH983358 WCD983358 WLZ983358 WVV983358 N316 JJ316 TF316 ADB316 AMX316 AWT316 BGP316 BQL316 CAH316 CKD316 CTZ316 DDV316 DNR316 DXN316 EHJ316 ERF316 FBB316 FKX316 FUT316 GEP316 GOL316 GYH316 HID316 HRZ316 IBV316 ILR316 IVN316 JFJ316 JPF316 JZB316 KIX316 KST316 LCP316 LML316 LWH316 MGD316 MPZ316 MZV316 NJR316 NTN316 ODJ316 ONF316 OXB316 PGX316 PQT316 QAP316 QKL316 QUH316 RED316 RNZ316 RXV316 SHR316 SRN316 TBJ316 TLF316 TVB316 UEX316 UOT316 UYP316 VIL316 VSH316 WCD316 WLZ316 WVV316 N65852 JJ65852 TF65852 ADB65852 AMX65852 AWT65852 BGP65852 BQL65852 CAH65852 CKD65852 CTZ65852 DDV65852 DNR65852 DXN65852 EHJ65852 ERF65852 FBB65852 FKX65852 FUT65852 GEP65852 GOL65852 GYH65852 HID65852 HRZ65852 IBV65852 ILR65852 IVN65852 JFJ65852 JPF65852 JZB65852 KIX65852 KST65852 LCP65852 LML65852 LWH65852 MGD65852 MPZ65852 MZV65852 NJR65852 NTN65852 ODJ65852 ONF65852 OXB65852 PGX65852 PQT65852 QAP65852 QKL65852 QUH65852 RED65852 RNZ65852 RXV65852 SHR65852 SRN65852 TBJ65852 TLF65852 TVB65852 UEX65852 UOT65852 UYP65852 VIL65852 VSH65852 WCD65852 WLZ65852 WVV65852 N131388 JJ131388 TF131388 ADB131388 AMX131388 AWT131388 BGP131388 BQL131388 CAH131388 CKD131388 CTZ131388 DDV131388 DNR131388 DXN131388 EHJ131388 ERF131388 FBB131388 FKX131388 FUT131388 GEP131388 GOL131388 GYH131388 HID131388 HRZ131388 IBV131388 ILR131388 IVN131388 JFJ131388 JPF131388 JZB131388 KIX131388 KST131388 LCP131388 LML131388 LWH131388 MGD131388 MPZ131388 MZV131388 NJR131388 NTN131388 ODJ131388 ONF131388 OXB131388 PGX131388 PQT131388 QAP131388 QKL131388 QUH131388 RED131388 RNZ131388 RXV131388 SHR131388 SRN131388 TBJ131388 TLF131388 TVB131388 UEX131388 UOT131388 UYP131388 VIL131388 VSH131388 WCD131388 WLZ131388 WVV131388 N196924 JJ196924 TF196924 ADB196924 AMX196924 AWT196924 BGP196924 BQL196924 CAH196924 CKD196924 CTZ196924 DDV196924 DNR196924 DXN196924 EHJ196924 ERF196924 FBB196924 FKX196924 FUT196924 GEP196924 GOL196924 GYH196924 HID196924 HRZ196924 IBV196924 ILR196924 IVN196924 JFJ196924 JPF196924 JZB196924 KIX196924 KST196924 LCP196924 LML196924 LWH196924 MGD196924 MPZ196924 MZV196924 NJR196924 NTN196924 ODJ196924 ONF196924 OXB196924 PGX196924 PQT196924 QAP196924 QKL196924 QUH196924 RED196924 RNZ196924 RXV196924 SHR196924 SRN196924 TBJ196924 TLF196924 TVB196924 UEX196924 UOT196924 UYP196924 VIL196924 VSH196924 WCD196924 WLZ196924 WVV196924 N262460 JJ262460 TF262460 ADB262460 AMX262460 AWT262460 BGP262460 BQL262460 CAH262460 CKD262460 CTZ262460 DDV262460 DNR262460 DXN262460 EHJ262460 ERF262460 FBB262460 FKX262460 FUT262460 GEP262460 GOL262460 GYH262460 HID262460 HRZ262460 IBV262460 ILR262460 IVN262460 JFJ262460 JPF262460 JZB262460 KIX262460 KST262460 LCP262460 LML262460 LWH262460 MGD262460 MPZ262460 MZV262460 NJR262460 NTN262460 ODJ262460 ONF262460 OXB262460 PGX262460 PQT262460 QAP262460 QKL262460 QUH262460 RED262460 RNZ262460 RXV262460 SHR262460 SRN262460 TBJ262460 TLF262460 TVB262460 UEX262460 UOT262460 UYP262460 VIL262460 VSH262460 WCD262460 WLZ262460 WVV262460 N327996 JJ327996 TF327996 ADB327996 AMX327996 AWT327996 BGP327996 BQL327996 CAH327996 CKD327996 CTZ327996 DDV327996 DNR327996 DXN327996 EHJ327996 ERF327996 FBB327996 FKX327996 FUT327996 GEP327996 GOL327996 GYH327996 HID327996 HRZ327996 IBV327996 ILR327996 IVN327996 JFJ327996 JPF327996 JZB327996 KIX327996 KST327996 LCP327996 LML327996 LWH327996 MGD327996 MPZ327996 MZV327996 NJR327996 NTN327996 ODJ327996 ONF327996 OXB327996 PGX327996 PQT327996 QAP327996 QKL327996 QUH327996 RED327996 RNZ327996 RXV327996 SHR327996 SRN327996 TBJ327996 TLF327996 TVB327996 UEX327996 UOT327996 UYP327996 VIL327996 VSH327996 WCD327996 WLZ327996 WVV327996 N393532 JJ393532 TF393532 ADB393532 AMX393532 AWT393532 BGP393532 BQL393532 CAH393532 CKD393532 CTZ393532 DDV393532 DNR393532 DXN393532 EHJ393532 ERF393532 FBB393532 FKX393532 FUT393532 GEP393532 GOL393532 GYH393532 HID393532 HRZ393532 IBV393532 ILR393532 IVN393532 JFJ393532 JPF393532 JZB393532 KIX393532 KST393532 LCP393532 LML393532 LWH393532 MGD393532 MPZ393532 MZV393532 NJR393532 NTN393532 ODJ393532 ONF393532 OXB393532 PGX393532 PQT393532 QAP393532 QKL393532 QUH393532 RED393532 RNZ393532 RXV393532 SHR393532 SRN393532 TBJ393532 TLF393532 TVB393532 UEX393532 UOT393532 UYP393532 VIL393532 VSH393532 WCD393532 WLZ393532 WVV393532 N459068 JJ459068 TF459068 ADB459068 AMX459068 AWT459068 BGP459068 BQL459068 CAH459068 CKD459068 CTZ459068 DDV459068 DNR459068 DXN459068 EHJ459068 ERF459068 FBB459068 FKX459068 FUT459068 GEP459068 GOL459068 GYH459068 HID459068 HRZ459068 IBV459068 ILR459068 IVN459068 JFJ459068 JPF459068 JZB459068 KIX459068 KST459068 LCP459068 LML459068 LWH459068 MGD459068 MPZ459068 MZV459068 NJR459068 NTN459068 ODJ459068 ONF459068 OXB459068 PGX459068 PQT459068 QAP459068 QKL459068 QUH459068 RED459068 RNZ459068 RXV459068 SHR459068 SRN459068 TBJ459068 TLF459068 TVB459068 UEX459068 UOT459068 UYP459068 VIL459068 VSH459068 WCD459068 WLZ459068 WVV459068 N524604 JJ524604 TF524604 ADB524604 AMX524604 AWT524604 BGP524604 BQL524604 CAH524604 CKD524604 CTZ524604 DDV524604 DNR524604 DXN524604 EHJ524604 ERF524604 FBB524604 FKX524604 FUT524604 GEP524604 GOL524604 GYH524604 HID524604 HRZ524604 IBV524604 ILR524604 IVN524604 JFJ524604 JPF524604 JZB524604 KIX524604 KST524604 LCP524604 LML524604 LWH524604 MGD524604 MPZ524604 MZV524604 NJR524604 NTN524604 ODJ524604 ONF524604 OXB524604 PGX524604 PQT524604 QAP524604 QKL524604 QUH524604 RED524604 RNZ524604 RXV524604 SHR524604 SRN524604 TBJ524604 TLF524604 TVB524604 UEX524604 UOT524604 UYP524604 VIL524604 VSH524604 WCD524604 WLZ524604 WVV524604 N590140 JJ590140 TF590140 ADB590140 AMX590140 AWT590140 BGP590140 BQL590140 CAH590140 CKD590140 CTZ590140 DDV590140 DNR590140 DXN590140 EHJ590140 ERF590140 FBB590140 FKX590140 FUT590140 GEP590140 GOL590140 GYH590140 HID590140 HRZ590140 IBV590140 ILR590140 IVN590140 JFJ590140 JPF590140 JZB590140 KIX590140 KST590140 LCP590140 LML590140 LWH590140 MGD590140 MPZ590140 MZV590140 NJR590140 NTN590140 ODJ590140 ONF590140 OXB590140 PGX590140 PQT590140 QAP590140 QKL590140 QUH590140 RED590140 RNZ590140 RXV590140 SHR590140 SRN590140 TBJ590140 TLF590140 TVB590140 UEX590140 UOT590140 UYP590140 VIL590140 VSH590140 WCD590140 WLZ590140 WVV590140 N655676 JJ655676 TF655676 ADB655676 AMX655676 AWT655676 BGP655676 BQL655676 CAH655676 CKD655676 CTZ655676 DDV655676 DNR655676 DXN655676 EHJ655676 ERF655676 FBB655676 FKX655676 FUT655676 GEP655676 GOL655676 GYH655676 HID655676 HRZ655676 IBV655676 ILR655676 IVN655676 JFJ655676 JPF655676 JZB655676 KIX655676 KST655676 LCP655676 LML655676 LWH655676 MGD655676 MPZ655676 MZV655676 NJR655676 NTN655676 ODJ655676 ONF655676 OXB655676 PGX655676 PQT655676 QAP655676 QKL655676 QUH655676 RED655676 RNZ655676 RXV655676 SHR655676 SRN655676 TBJ655676 TLF655676 TVB655676 UEX655676 UOT655676 UYP655676 VIL655676 VSH655676 WCD655676 WLZ655676 WVV655676 N721212 JJ721212 TF721212 ADB721212 AMX721212 AWT721212 BGP721212 BQL721212 CAH721212 CKD721212 CTZ721212 DDV721212 DNR721212 DXN721212 EHJ721212 ERF721212 FBB721212 FKX721212 FUT721212 GEP721212 GOL721212 GYH721212 HID721212 HRZ721212 IBV721212 ILR721212 IVN721212 JFJ721212 JPF721212 JZB721212 KIX721212 KST721212 LCP721212 LML721212 LWH721212 MGD721212 MPZ721212 MZV721212 NJR721212 NTN721212 ODJ721212 ONF721212 OXB721212 PGX721212 PQT721212 QAP721212 QKL721212 QUH721212 RED721212 RNZ721212 RXV721212 SHR721212 SRN721212 TBJ721212 TLF721212 TVB721212 UEX721212 UOT721212 UYP721212 VIL721212 VSH721212 WCD721212 WLZ721212 WVV721212 N786748 JJ786748 TF786748 ADB786748 AMX786748 AWT786748 BGP786748 BQL786748 CAH786748 CKD786748 CTZ786748 DDV786748 DNR786748 DXN786748 EHJ786748 ERF786748 FBB786748 FKX786748 FUT786748 GEP786748 GOL786748 GYH786748 HID786748 HRZ786748 IBV786748 ILR786748 IVN786748 JFJ786748 JPF786748 JZB786748 KIX786748 KST786748 LCP786748 LML786748 LWH786748 MGD786748 MPZ786748 MZV786748 NJR786748 NTN786748 ODJ786748 ONF786748 OXB786748 PGX786748 PQT786748 QAP786748 QKL786748 QUH786748 RED786748 RNZ786748 RXV786748 SHR786748 SRN786748 TBJ786748 TLF786748 TVB786748 UEX786748 UOT786748 UYP786748 VIL786748 VSH786748 WCD786748 WLZ786748 WVV786748 N852284 JJ852284 TF852284 ADB852284 AMX852284 AWT852284 BGP852284 BQL852284 CAH852284 CKD852284 CTZ852284 DDV852284 DNR852284 DXN852284 EHJ852284 ERF852284 FBB852284 FKX852284 FUT852284 GEP852284 GOL852284 GYH852284 HID852284 HRZ852284 IBV852284 ILR852284 IVN852284 JFJ852284 JPF852284 JZB852284 KIX852284 KST852284 LCP852284 LML852284 LWH852284 MGD852284 MPZ852284 MZV852284 NJR852284 NTN852284 ODJ852284 ONF852284 OXB852284 PGX852284 PQT852284 QAP852284 QKL852284 QUH852284 RED852284 RNZ852284 RXV852284 SHR852284 SRN852284 TBJ852284 TLF852284 TVB852284 UEX852284 UOT852284 UYP852284 VIL852284 VSH852284 WCD852284 WLZ852284 WVV852284 N917820 JJ917820 TF917820 ADB917820 AMX917820 AWT917820 BGP917820 BQL917820 CAH917820 CKD917820 CTZ917820 DDV917820 DNR917820 DXN917820 EHJ917820 ERF917820 FBB917820 FKX917820 FUT917820 GEP917820 GOL917820 GYH917820 HID917820 HRZ917820 IBV917820 ILR917820 IVN917820 JFJ917820 JPF917820 JZB917820 KIX917820 KST917820 LCP917820 LML917820 LWH917820 MGD917820 MPZ917820 MZV917820 NJR917820 NTN917820 ODJ917820 ONF917820 OXB917820 PGX917820 PQT917820 QAP917820 QKL917820 QUH917820 RED917820 RNZ917820 RXV917820 SHR917820 SRN917820 TBJ917820 TLF917820 TVB917820 UEX917820 UOT917820 UYP917820 VIL917820 VSH917820 WCD917820 WLZ917820 WVV917820 N983356 JJ983356 TF983356 ADB983356 AMX983356 AWT983356 BGP983356 BQL983356 CAH983356 CKD983356 CTZ983356 DDV983356 DNR983356 DXN983356 EHJ983356 ERF983356 FBB983356 FKX983356 FUT983356 GEP983356 GOL983356 GYH983356 HID983356 HRZ983356 IBV983356 ILR983356 IVN983356 JFJ983356 JPF983356 JZB983356 KIX983356 KST983356 LCP983356 LML983356 LWH983356 MGD983356 MPZ983356 MZV983356 NJR983356 NTN983356 ODJ983356 ONF983356 OXB983356 PGX983356 PQT983356 QAP983356 QKL983356 QUH983356 RED983356 RNZ983356 RXV983356 SHR983356 SRN983356 TBJ983356 TLF983356 TVB983356 UEX983356 UOT983356 UYP983356 VIL983356 VSH983356 WCD983356 WLZ983356 WVV983356 N296:N297 JJ296:JJ297 TF296:TF297 ADB296:ADB297 AMX296:AMX297 AWT296:AWT297 BGP296:BGP297 BQL296:BQL297 CAH296:CAH297 CKD296:CKD297 CTZ296:CTZ297 DDV296:DDV297 DNR296:DNR297 DXN296:DXN297 EHJ296:EHJ297 ERF296:ERF297 FBB296:FBB297 FKX296:FKX297 FUT296:FUT297 GEP296:GEP297 GOL296:GOL297 GYH296:GYH297 HID296:HID297 HRZ296:HRZ297 IBV296:IBV297 ILR296:ILR297 IVN296:IVN297 JFJ296:JFJ297 JPF296:JPF297 JZB296:JZB297 KIX296:KIX297 KST296:KST297 LCP296:LCP297 LML296:LML297 LWH296:LWH297 MGD296:MGD297 MPZ296:MPZ297 MZV296:MZV297 NJR296:NJR297 NTN296:NTN297 ODJ296:ODJ297 ONF296:ONF297 OXB296:OXB297 PGX296:PGX297 PQT296:PQT297 QAP296:QAP297 QKL296:QKL297 QUH296:QUH297 RED296:RED297 RNZ296:RNZ297 RXV296:RXV297 SHR296:SHR297 SRN296:SRN297 TBJ296:TBJ297 TLF296:TLF297 TVB296:TVB297 UEX296:UEX297 UOT296:UOT297 UYP296:UYP297 VIL296:VIL297 VSH296:VSH297 WCD296:WCD297 WLZ296:WLZ297 WVV296:WVV297 N65832:N65833 JJ65832:JJ65833 TF65832:TF65833 ADB65832:ADB65833 AMX65832:AMX65833 AWT65832:AWT65833 BGP65832:BGP65833 BQL65832:BQL65833 CAH65832:CAH65833 CKD65832:CKD65833 CTZ65832:CTZ65833 DDV65832:DDV65833 DNR65832:DNR65833 DXN65832:DXN65833 EHJ65832:EHJ65833 ERF65832:ERF65833 FBB65832:FBB65833 FKX65832:FKX65833 FUT65832:FUT65833 GEP65832:GEP65833 GOL65832:GOL65833 GYH65832:GYH65833 HID65832:HID65833 HRZ65832:HRZ65833 IBV65832:IBV65833 ILR65832:ILR65833 IVN65832:IVN65833 JFJ65832:JFJ65833 JPF65832:JPF65833 JZB65832:JZB65833 KIX65832:KIX65833 KST65832:KST65833 LCP65832:LCP65833 LML65832:LML65833 LWH65832:LWH65833 MGD65832:MGD65833 MPZ65832:MPZ65833 MZV65832:MZV65833 NJR65832:NJR65833 NTN65832:NTN65833 ODJ65832:ODJ65833 ONF65832:ONF65833 OXB65832:OXB65833 PGX65832:PGX65833 PQT65832:PQT65833 QAP65832:QAP65833 QKL65832:QKL65833 QUH65832:QUH65833 RED65832:RED65833 RNZ65832:RNZ65833 RXV65832:RXV65833 SHR65832:SHR65833 SRN65832:SRN65833 TBJ65832:TBJ65833 TLF65832:TLF65833 TVB65832:TVB65833 UEX65832:UEX65833 UOT65832:UOT65833 UYP65832:UYP65833 VIL65832:VIL65833 VSH65832:VSH65833 WCD65832:WCD65833 WLZ65832:WLZ65833 WVV65832:WVV65833 N131368:N131369 JJ131368:JJ131369 TF131368:TF131369 ADB131368:ADB131369 AMX131368:AMX131369 AWT131368:AWT131369 BGP131368:BGP131369 BQL131368:BQL131369 CAH131368:CAH131369 CKD131368:CKD131369 CTZ131368:CTZ131369 DDV131368:DDV131369 DNR131368:DNR131369 DXN131368:DXN131369 EHJ131368:EHJ131369 ERF131368:ERF131369 FBB131368:FBB131369 FKX131368:FKX131369 FUT131368:FUT131369 GEP131368:GEP131369 GOL131368:GOL131369 GYH131368:GYH131369 HID131368:HID131369 HRZ131368:HRZ131369 IBV131368:IBV131369 ILR131368:ILR131369 IVN131368:IVN131369 JFJ131368:JFJ131369 JPF131368:JPF131369 JZB131368:JZB131369 KIX131368:KIX131369 KST131368:KST131369 LCP131368:LCP131369 LML131368:LML131369 LWH131368:LWH131369 MGD131368:MGD131369 MPZ131368:MPZ131369 MZV131368:MZV131369 NJR131368:NJR131369 NTN131368:NTN131369 ODJ131368:ODJ131369 ONF131368:ONF131369 OXB131368:OXB131369 PGX131368:PGX131369 PQT131368:PQT131369 QAP131368:QAP131369 QKL131368:QKL131369 QUH131368:QUH131369 RED131368:RED131369 RNZ131368:RNZ131369 RXV131368:RXV131369 SHR131368:SHR131369 SRN131368:SRN131369 TBJ131368:TBJ131369 TLF131368:TLF131369 TVB131368:TVB131369 UEX131368:UEX131369 UOT131368:UOT131369 UYP131368:UYP131369 VIL131368:VIL131369 VSH131368:VSH131369 WCD131368:WCD131369 WLZ131368:WLZ131369 WVV131368:WVV131369 N196904:N196905 JJ196904:JJ196905 TF196904:TF196905 ADB196904:ADB196905 AMX196904:AMX196905 AWT196904:AWT196905 BGP196904:BGP196905 BQL196904:BQL196905 CAH196904:CAH196905 CKD196904:CKD196905 CTZ196904:CTZ196905 DDV196904:DDV196905 DNR196904:DNR196905 DXN196904:DXN196905 EHJ196904:EHJ196905 ERF196904:ERF196905 FBB196904:FBB196905 FKX196904:FKX196905 FUT196904:FUT196905 GEP196904:GEP196905 GOL196904:GOL196905 GYH196904:GYH196905 HID196904:HID196905 HRZ196904:HRZ196905 IBV196904:IBV196905 ILR196904:ILR196905 IVN196904:IVN196905 JFJ196904:JFJ196905 JPF196904:JPF196905 JZB196904:JZB196905 KIX196904:KIX196905 KST196904:KST196905 LCP196904:LCP196905 LML196904:LML196905 LWH196904:LWH196905 MGD196904:MGD196905 MPZ196904:MPZ196905 MZV196904:MZV196905 NJR196904:NJR196905 NTN196904:NTN196905 ODJ196904:ODJ196905 ONF196904:ONF196905 OXB196904:OXB196905 PGX196904:PGX196905 PQT196904:PQT196905 QAP196904:QAP196905 QKL196904:QKL196905 QUH196904:QUH196905 RED196904:RED196905 RNZ196904:RNZ196905 RXV196904:RXV196905 SHR196904:SHR196905 SRN196904:SRN196905 TBJ196904:TBJ196905 TLF196904:TLF196905 TVB196904:TVB196905 UEX196904:UEX196905 UOT196904:UOT196905 UYP196904:UYP196905 VIL196904:VIL196905 VSH196904:VSH196905 WCD196904:WCD196905 WLZ196904:WLZ196905 WVV196904:WVV196905 N262440:N262441 JJ262440:JJ262441 TF262440:TF262441 ADB262440:ADB262441 AMX262440:AMX262441 AWT262440:AWT262441 BGP262440:BGP262441 BQL262440:BQL262441 CAH262440:CAH262441 CKD262440:CKD262441 CTZ262440:CTZ262441 DDV262440:DDV262441 DNR262440:DNR262441 DXN262440:DXN262441 EHJ262440:EHJ262441 ERF262440:ERF262441 FBB262440:FBB262441 FKX262440:FKX262441 FUT262440:FUT262441 GEP262440:GEP262441 GOL262440:GOL262441 GYH262440:GYH262441 HID262440:HID262441 HRZ262440:HRZ262441 IBV262440:IBV262441 ILR262440:ILR262441 IVN262440:IVN262441 JFJ262440:JFJ262441 JPF262440:JPF262441 JZB262440:JZB262441 KIX262440:KIX262441 KST262440:KST262441 LCP262440:LCP262441 LML262440:LML262441 LWH262440:LWH262441 MGD262440:MGD262441 MPZ262440:MPZ262441 MZV262440:MZV262441 NJR262440:NJR262441 NTN262440:NTN262441 ODJ262440:ODJ262441 ONF262440:ONF262441 OXB262440:OXB262441 PGX262440:PGX262441 PQT262440:PQT262441 QAP262440:QAP262441 QKL262440:QKL262441 QUH262440:QUH262441 RED262440:RED262441 RNZ262440:RNZ262441 RXV262440:RXV262441 SHR262440:SHR262441 SRN262440:SRN262441 TBJ262440:TBJ262441 TLF262440:TLF262441 TVB262440:TVB262441 UEX262440:UEX262441 UOT262440:UOT262441 UYP262440:UYP262441 VIL262440:VIL262441 VSH262440:VSH262441 WCD262440:WCD262441 WLZ262440:WLZ262441 WVV262440:WVV262441 N327976:N327977 JJ327976:JJ327977 TF327976:TF327977 ADB327976:ADB327977 AMX327976:AMX327977 AWT327976:AWT327977 BGP327976:BGP327977 BQL327976:BQL327977 CAH327976:CAH327977 CKD327976:CKD327977 CTZ327976:CTZ327977 DDV327976:DDV327977 DNR327976:DNR327977 DXN327976:DXN327977 EHJ327976:EHJ327977 ERF327976:ERF327977 FBB327976:FBB327977 FKX327976:FKX327977 FUT327976:FUT327977 GEP327976:GEP327977 GOL327976:GOL327977 GYH327976:GYH327977 HID327976:HID327977 HRZ327976:HRZ327977 IBV327976:IBV327977 ILR327976:ILR327977 IVN327976:IVN327977 JFJ327976:JFJ327977 JPF327976:JPF327977 JZB327976:JZB327977 KIX327976:KIX327977 KST327976:KST327977 LCP327976:LCP327977 LML327976:LML327977 LWH327976:LWH327977 MGD327976:MGD327977 MPZ327976:MPZ327977 MZV327976:MZV327977 NJR327976:NJR327977 NTN327976:NTN327977 ODJ327976:ODJ327977 ONF327976:ONF327977 OXB327976:OXB327977 PGX327976:PGX327977 PQT327976:PQT327977 QAP327976:QAP327977 QKL327976:QKL327977 QUH327976:QUH327977 RED327976:RED327977 RNZ327976:RNZ327977 RXV327976:RXV327977 SHR327976:SHR327977 SRN327976:SRN327977 TBJ327976:TBJ327977 TLF327976:TLF327977 TVB327976:TVB327977 UEX327976:UEX327977 UOT327976:UOT327977 UYP327976:UYP327977 VIL327976:VIL327977 VSH327976:VSH327977 WCD327976:WCD327977 WLZ327976:WLZ327977 WVV327976:WVV327977 N393512:N393513 JJ393512:JJ393513 TF393512:TF393513 ADB393512:ADB393513 AMX393512:AMX393513 AWT393512:AWT393513 BGP393512:BGP393513 BQL393512:BQL393513 CAH393512:CAH393513 CKD393512:CKD393513 CTZ393512:CTZ393513 DDV393512:DDV393513 DNR393512:DNR393513 DXN393512:DXN393513 EHJ393512:EHJ393513 ERF393512:ERF393513 FBB393512:FBB393513 FKX393512:FKX393513 FUT393512:FUT393513 GEP393512:GEP393513 GOL393512:GOL393513 GYH393512:GYH393513 HID393512:HID393513 HRZ393512:HRZ393513 IBV393512:IBV393513 ILR393512:ILR393513 IVN393512:IVN393513 JFJ393512:JFJ393513 JPF393512:JPF393513 JZB393512:JZB393513 KIX393512:KIX393513 KST393512:KST393513 LCP393512:LCP393513 LML393512:LML393513 LWH393512:LWH393513 MGD393512:MGD393513 MPZ393512:MPZ393513 MZV393512:MZV393513 NJR393512:NJR393513 NTN393512:NTN393513 ODJ393512:ODJ393513 ONF393512:ONF393513 OXB393512:OXB393513 PGX393512:PGX393513 PQT393512:PQT393513 QAP393512:QAP393513 QKL393512:QKL393513 QUH393512:QUH393513 RED393512:RED393513 RNZ393512:RNZ393513 RXV393512:RXV393513 SHR393512:SHR393513 SRN393512:SRN393513 TBJ393512:TBJ393513 TLF393512:TLF393513 TVB393512:TVB393513 UEX393512:UEX393513 UOT393512:UOT393513 UYP393512:UYP393513 VIL393512:VIL393513 VSH393512:VSH393513 WCD393512:WCD393513 WLZ393512:WLZ393513 WVV393512:WVV393513 N459048:N459049 JJ459048:JJ459049 TF459048:TF459049 ADB459048:ADB459049 AMX459048:AMX459049 AWT459048:AWT459049 BGP459048:BGP459049 BQL459048:BQL459049 CAH459048:CAH459049 CKD459048:CKD459049 CTZ459048:CTZ459049 DDV459048:DDV459049 DNR459048:DNR459049 DXN459048:DXN459049 EHJ459048:EHJ459049 ERF459048:ERF459049 FBB459048:FBB459049 FKX459048:FKX459049 FUT459048:FUT459049 GEP459048:GEP459049 GOL459048:GOL459049 GYH459048:GYH459049 HID459048:HID459049 HRZ459048:HRZ459049 IBV459048:IBV459049 ILR459048:ILR459049 IVN459048:IVN459049 JFJ459048:JFJ459049 JPF459048:JPF459049 JZB459048:JZB459049 KIX459048:KIX459049 KST459048:KST459049 LCP459048:LCP459049 LML459048:LML459049 LWH459048:LWH459049 MGD459048:MGD459049 MPZ459048:MPZ459049 MZV459048:MZV459049 NJR459048:NJR459049 NTN459048:NTN459049 ODJ459048:ODJ459049 ONF459048:ONF459049 OXB459048:OXB459049 PGX459048:PGX459049 PQT459048:PQT459049 QAP459048:QAP459049 QKL459048:QKL459049 QUH459048:QUH459049 RED459048:RED459049 RNZ459048:RNZ459049 RXV459048:RXV459049 SHR459048:SHR459049 SRN459048:SRN459049 TBJ459048:TBJ459049 TLF459048:TLF459049 TVB459048:TVB459049 UEX459048:UEX459049 UOT459048:UOT459049 UYP459048:UYP459049 VIL459048:VIL459049 VSH459048:VSH459049 WCD459048:WCD459049 WLZ459048:WLZ459049 WVV459048:WVV459049 N524584:N524585 JJ524584:JJ524585 TF524584:TF524585 ADB524584:ADB524585 AMX524584:AMX524585 AWT524584:AWT524585 BGP524584:BGP524585 BQL524584:BQL524585 CAH524584:CAH524585 CKD524584:CKD524585 CTZ524584:CTZ524585 DDV524584:DDV524585 DNR524584:DNR524585 DXN524584:DXN524585 EHJ524584:EHJ524585 ERF524584:ERF524585 FBB524584:FBB524585 FKX524584:FKX524585 FUT524584:FUT524585 GEP524584:GEP524585 GOL524584:GOL524585 GYH524584:GYH524585 HID524584:HID524585 HRZ524584:HRZ524585 IBV524584:IBV524585 ILR524584:ILR524585 IVN524584:IVN524585 JFJ524584:JFJ524585 JPF524584:JPF524585 JZB524584:JZB524585 KIX524584:KIX524585 KST524584:KST524585 LCP524584:LCP524585 LML524584:LML524585 LWH524584:LWH524585 MGD524584:MGD524585 MPZ524584:MPZ524585 MZV524584:MZV524585 NJR524584:NJR524585 NTN524584:NTN524585 ODJ524584:ODJ524585 ONF524584:ONF524585 OXB524584:OXB524585 PGX524584:PGX524585 PQT524584:PQT524585 QAP524584:QAP524585 QKL524584:QKL524585 QUH524584:QUH524585 RED524584:RED524585 RNZ524584:RNZ524585 RXV524584:RXV524585 SHR524584:SHR524585 SRN524584:SRN524585 TBJ524584:TBJ524585 TLF524584:TLF524585 TVB524584:TVB524585 UEX524584:UEX524585 UOT524584:UOT524585 UYP524584:UYP524585 VIL524584:VIL524585 VSH524584:VSH524585 WCD524584:WCD524585 WLZ524584:WLZ524585 WVV524584:WVV524585 N590120:N590121 JJ590120:JJ590121 TF590120:TF590121 ADB590120:ADB590121 AMX590120:AMX590121 AWT590120:AWT590121 BGP590120:BGP590121 BQL590120:BQL590121 CAH590120:CAH590121 CKD590120:CKD590121 CTZ590120:CTZ590121 DDV590120:DDV590121 DNR590120:DNR590121 DXN590120:DXN590121 EHJ590120:EHJ590121 ERF590120:ERF590121 FBB590120:FBB590121 FKX590120:FKX590121 FUT590120:FUT590121 GEP590120:GEP590121 GOL590120:GOL590121 GYH590120:GYH590121 HID590120:HID590121 HRZ590120:HRZ590121 IBV590120:IBV590121 ILR590120:ILR590121 IVN590120:IVN590121 JFJ590120:JFJ590121 JPF590120:JPF590121 JZB590120:JZB590121 KIX590120:KIX590121 KST590120:KST590121 LCP590120:LCP590121 LML590120:LML590121 LWH590120:LWH590121 MGD590120:MGD590121 MPZ590120:MPZ590121 MZV590120:MZV590121 NJR590120:NJR590121 NTN590120:NTN590121 ODJ590120:ODJ590121 ONF590120:ONF590121 OXB590120:OXB590121 PGX590120:PGX590121 PQT590120:PQT590121 QAP590120:QAP590121 QKL590120:QKL590121 QUH590120:QUH590121 RED590120:RED590121 RNZ590120:RNZ590121 RXV590120:RXV590121 SHR590120:SHR590121 SRN590120:SRN590121 TBJ590120:TBJ590121 TLF590120:TLF590121 TVB590120:TVB590121 UEX590120:UEX590121 UOT590120:UOT590121 UYP590120:UYP590121 VIL590120:VIL590121 VSH590120:VSH590121 WCD590120:WCD590121 WLZ590120:WLZ590121 WVV590120:WVV590121 N655656:N655657 JJ655656:JJ655657 TF655656:TF655657 ADB655656:ADB655657 AMX655656:AMX655657 AWT655656:AWT655657 BGP655656:BGP655657 BQL655656:BQL655657 CAH655656:CAH655657 CKD655656:CKD655657 CTZ655656:CTZ655657 DDV655656:DDV655657 DNR655656:DNR655657 DXN655656:DXN655657 EHJ655656:EHJ655657 ERF655656:ERF655657 FBB655656:FBB655657 FKX655656:FKX655657 FUT655656:FUT655657 GEP655656:GEP655657 GOL655656:GOL655657 GYH655656:GYH655657 HID655656:HID655657 HRZ655656:HRZ655657 IBV655656:IBV655657 ILR655656:ILR655657 IVN655656:IVN655657 JFJ655656:JFJ655657 JPF655656:JPF655657 JZB655656:JZB655657 KIX655656:KIX655657 KST655656:KST655657 LCP655656:LCP655657 LML655656:LML655657 LWH655656:LWH655657 MGD655656:MGD655657 MPZ655656:MPZ655657 MZV655656:MZV655657 NJR655656:NJR655657 NTN655656:NTN655657 ODJ655656:ODJ655657 ONF655656:ONF655657 OXB655656:OXB655657 PGX655656:PGX655657 PQT655656:PQT655657 QAP655656:QAP655657 QKL655656:QKL655657 QUH655656:QUH655657 RED655656:RED655657 RNZ655656:RNZ655657 RXV655656:RXV655657 SHR655656:SHR655657 SRN655656:SRN655657 TBJ655656:TBJ655657 TLF655656:TLF655657 TVB655656:TVB655657 UEX655656:UEX655657 UOT655656:UOT655657 UYP655656:UYP655657 VIL655656:VIL655657 VSH655656:VSH655657 WCD655656:WCD655657 WLZ655656:WLZ655657 WVV655656:WVV655657 N721192:N721193 JJ721192:JJ721193 TF721192:TF721193 ADB721192:ADB721193 AMX721192:AMX721193 AWT721192:AWT721193 BGP721192:BGP721193 BQL721192:BQL721193 CAH721192:CAH721193 CKD721192:CKD721193 CTZ721192:CTZ721193 DDV721192:DDV721193 DNR721192:DNR721193 DXN721192:DXN721193 EHJ721192:EHJ721193 ERF721192:ERF721193 FBB721192:FBB721193 FKX721192:FKX721193 FUT721192:FUT721193 GEP721192:GEP721193 GOL721192:GOL721193 GYH721192:GYH721193 HID721192:HID721193 HRZ721192:HRZ721193 IBV721192:IBV721193 ILR721192:ILR721193 IVN721192:IVN721193 JFJ721192:JFJ721193 JPF721192:JPF721193 JZB721192:JZB721193 KIX721192:KIX721193 KST721192:KST721193 LCP721192:LCP721193 LML721192:LML721193 LWH721192:LWH721193 MGD721192:MGD721193 MPZ721192:MPZ721193 MZV721192:MZV721193 NJR721192:NJR721193 NTN721192:NTN721193 ODJ721192:ODJ721193 ONF721192:ONF721193 OXB721192:OXB721193 PGX721192:PGX721193 PQT721192:PQT721193 QAP721192:QAP721193 QKL721192:QKL721193 QUH721192:QUH721193 RED721192:RED721193 RNZ721192:RNZ721193 RXV721192:RXV721193 SHR721192:SHR721193 SRN721192:SRN721193 TBJ721192:TBJ721193 TLF721192:TLF721193 TVB721192:TVB721193 UEX721192:UEX721193 UOT721192:UOT721193 UYP721192:UYP721193 VIL721192:VIL721193 VSH721192:VSH721193 WCD721192:WCD721193 WLZ721192:WLZ721193 WVV721192:WVV721193 N786728:N786729 JJ786728:JJ786729 TF786728:TF786729 ADB786728:ADB786729 AMX786728:AMX786729 AWT786728:AWT786729 BGP786728:BGP786729 BQL786728:BQL786729 CAH786728:CAH786729 CKD786728:CKD786729 CTZ786728:CTZ786729 DDV786728:DDV786729 DNR786728:DNR786729 DXN786728:DXN786729 EHJ786728:EHJ786729 ERF786728:ERF786729 FBB786728:FBB786729 FKX786728:FKX786729 FUT786728:FUT786729 GEP786728:GEP786729 GOL786728:GOL786729 GYH786728:GYH786729 HID786728:HID786729 HRZ786728:HRZ786729 IBV786728:IBV786729 ILR786728:ILR786729 IVN786728:IVN786729 JFJ786728:JFJ786729 JPF786728:JPF786729 JZB786728:JZB786729 KIX786728:KIX786729 KST786728:KST786729 LCP786728:LCP786729 LML786728:LML786729 LWH786728:LWH786729 MGD786728:MGD786729 MPZ786728:MPZ786729 MZV786728:MZV786729 NJR786728:NJR786729 NTN786728:NTN786729 ODJ786728:ODJ786729 ONF786728:ONF786729 OXB786728:OXB786729 PGX786728:PGX786729 PQT786728:PQT786729 QAP786728:QAP786729 QKL786728:QKL786729 QUH786728:QUH786729 RED786728:RED786729 RNZ786728:RNZ786729 RXV786728:RXV786729 SHR786728:SHR786729 SRN786728:SRN786729 TBJ786728:TBJ786729 TLF786728:TLF786729 TVB786728:TVB786729 UEX786728:UEX786729 UOT786728:UOT786729 UYP786728:UYP786729 VIL786728:VIL786729 VSH786728:VSH786729 WCD786728:WCD786729 WLZ786728:WLZ786729 WVV786728:WVV786729 N852264:N852265 JJ852264:JJ852265 TF852264:TF852265 ADB852264:ADB852265 AMX852264:AMX852265 AWT852264:AWT852265 BGP852264:BGP852265 BQL852264:BQL852265 CAH852264:CAH852265 CKD852264:CKD852265 CTZ852264:CTZ852265 DDV852264:DDV852265 DNR852264:DNR852265 DXN852264:DXN852265 EHJ852264:EHJ852265 ERF852264:ERF852265 FBB852264:FBB852265 FKX852264:FKX852265 FUT852264:FUT852265 GEP852264:GEP852265 GOL852264:GOL852265 GYH852264:GYH852265 HID852264:HID852265 HRZ852264:HRZ852265 IBV852264:IBV852265 ILR852264:ILR852265 IVN852264:IVN852265 JFJ852264:JFJ852265 JPF852264:JPF852265 JZB852264:JZB852265 KIX852264:KIX852265 KST852264:KST852265 LCP852264:LCP852265 LML852264:LML852265 LWH852264:LWH852265 MGD852264:MGD852265 MPZ852264:MPZ852265 MZV852264:MZV852265 NJR852264:NJR852265 NTN852264:NTN852265 ODJ852264:ODJ852265 ONF852264:ONF852265 OXB852264:OXB852265 PGX852264:PGX852265 PQT852264:PQT852265 QAP852264:QAP852265 QKL852264:QKL852265 QUH852264:QUH852265 RED852264:RED852265 RNZ852264:RNZ852265 RXV852264:RXV852265 SHR852264:SHR852265 SRN852264:SRN852265 TBJ852264:TBJ852265 TLF852264:TLF852265 TVB852264:TVB852265 UEX852264:UEX852265 UOT852264:UOT852265 UYP852264:UYP852265 VIL852264:VIL852265 VSH852264:VSH852265 WCD852264:WCD852265 WLZ852264:WLZ852265 WVV852264:WVV852265 N917800:N917801 JJ917800:JJ917801 TF917800:TF917801 ADB917800:ADB917801 AMX917800:AMX917801 AWT917800:AWT917801 BGP917800:BGP917801 BQL917800:BQL917801 CAH917800:CAH917801 CKD917800:CKD917801 CTZ917800:CTZ917801 DDV917800:DDV917801 DNR917800:DNR917801 DXN917800:DXN917801 EHJ917800:EHJ917801 ERF917800:ERF917801 FBB917800:FBB917801 FKX917800:FKX917801 FUT917800:FUT917801 GEP917800:GEP917801 GOL917800:GOL917801 GYH917800:GYH917801 HID917800:HID917801 HRZ917800:HRZ917801 IBV917800:IBV917801 ILR917800:ILR917801 IVN917800:IVN917801 JFJ917800:JFJ917801 JPF917800:JPF917801 JZB917800:JZB917801 KIX917800:KIX917801 KST917800:KST917801 LCP917800:LCP917801 LML917800:LML917801 LWH917800:LWH917801 MGD917800:MGD917801 MPZ917800:MPZ917801 MZV917800:MZV917801 NJR917800:NJR917801 NTN917800:NTN917801 ODJ917800:ODJ917801 ONF917800:ONF917801 OXB917800:OXB917801 PGX917800:PGX917801 PQT917800:PQT917801 QAP917800:QAP917801 QKL917800:QKL917801 QUH917800:QUH917801 RED917800:RED917801 RNZ917800:RNZ917801 RXV917800:RXV917801 SHR917800:SHR917801 SRN917800:SRN917801 TBJ917800:TBJ917801 TLF917800:TLF917801 TVB917800:TVB917801 UEX917800:UEX917801 UOT917800:UOT917801 UYP917800:UYP917801 VIL917800:VIL917801 VSH917800:VSH917801 WCD917800:WCD917801 WLZ917800:WLZ917801 WVV917800:WVV917801 N983336:N983337 JJ983336:JJ983337 TF983336:TF983337 ADB983336:ADB983337 AMX983336:AMX983337 AWT983336:AWT983337 BGP983336:BGP983337 BQL983336:BQL983337 CAH983336:CAH983337 CKD983336:CKD983337 CTZ983336:CTZ983337 DDV983336:DDV983337 DNR983336:DNR983337 DXN983336:DXN983337 EHJ983336:EHJ983337 ERF983336:ERF983337 FBB983336:FBB983337 FKX983336:FKX983337 FUT983336:FUT983337 GEP983336:GEP983337 GOL983336:GOL983337 GYH983336:GYH983337 HID983336:HID983337 HRZ983336:HRZ983337 IBV983336:IBV983337 ILR983336:ILR983337 IVN983336:IVN983337 JFJ983336:JFJ983337 JPF983336:JPF983337 JZB983336:JZB983337 KIX983336:KIX983337 KST983336:KST983337 LCP983336:LCP983337 LML983336:LML983337 LWH983336:LWH983337 MGD983336:MGD983337 MPZ983336:MPZ983337 MZV983336:MZV983337 NJR983336:NJR983337 NTN983336:NTN983337 ODJ983336:ODJ983337 ONF983336:ONF983337 OXB983336:OXB983337 PGX983336:PGX983337 PQT983336:PQT983337 QAP983336:QAP983337 QKL983336:QKL983337 QUH983336:QUH983337 RED983336:RED983337 RNZ983336:RNZ983337 RXV983336:RXV983337 SHR983336:SHR983337 SRN983336:SRN983337 TBJ983336:TBJ983337 TLF983336:TLF983337 TVB983336:TVB983337 UEX983336:UEX983337 UOT983336:UOT983337 UYP983336:UYP983337 VIL983336:VIL983337 VSH983336:VSH983337 WCD983336:WCD983337 WLZ983336:WLZ983337 WVV983336:WVV983337 AD312 JZ312 TV312 ADR312 ANN312 AXJ312 BHF312 BRB312 CAX312 CKT312 CUP312 DEL312 DOH312 DYD312 EHZ312 ERV312 FBR312 FLN312 FVJ312 GFF312 GPB312 GYX312 HIT312 HSP312 ICL312 IMH312 IWD312 JFZ312 JPV312 JZR312 KJN312 KTJ312 LDF312 LNB312 LWX312 MGT312 MQP312 NAL312 NKH312 NUD312 ODZ312 ONV312 OXR312 PHN312 PRJ312 QBF312 QLB312 QUX312 RET312 ROP312 RYL312 SIH312 SSD312 TBZ312 TLV312 TVR312 UFN312 UPJ312 UZF312 VJB312 VSX312 WCT312 WMP312 WWL312 AD65848 JZ65848 TV65848 ADR65848 ANN65848 AXJ65848 BHF65848 BRB65848 CAX65848 CKT65848 CUP65848 DEL65848 DOH65848 DYD65848 EHZ65848 ERV65848 FBR65848 FLN65848 FVJ65848 GFF65848 GPB65848 GYX65848 HIT65848 HSP65848 ICL65848 IMH65848 IWD65848 JFZ65848 JPV65848 JZR65848 KJN65848 KTJ65848 LDF65848 LNB65848 LWX65848 MGT65848 MQP65848 NAL65848 NKH65848 NUD65848 ODZ65848 ONV65848 OXR65848 PHN65848 PRJ65848 QBF65848 QLB65848 QUX65848 RET65848 ROP65848 RYL65848 SIH65848 SSD65848 TBZ65848 TLV65848 TVR65848 UFN65848 UPJ65848 UZF65848 VJB65848 VSX65848 WCT65848 WMP65848 WWL65848 AD131384 JZ131384 TV131384 ADR131384 ANN131384 AXJ131384 BHF131384 BRB131384 CAX131384 CKT131384 CUP131384 DEL131384 DOH131384 DYD131384 EHZ131384 ERV131384 FBR131384 FLN131384 FVJ131384 GFF131384 GPB131384 GYX131384 HIT131384 HSP131384 ICL131384 IMH131384 IWD131384 JFZ131384 JPV131384 JZR131384 KJN131384 KTJ131384 LDF131384 LNB131384 LWX131384 MGT131384 MQP131384 NAL131384 NKH131384 NUD131384 ODZ131384 ONV131384 OXR131384 PHN131384 PRJ131384 QBF131384 QLB131384 QUX131384 RET131384 ROP131384 RYL131384 SIH131384 SSD131384 TBZ131384 TLV131384 TVR131384 UFN131384 UPJ131384 UZF131384 VJB131384 VSX131384 WCT131384 WMP131384 WWL131384 AD196920 JZ196920 TV196920 ADR196920 ANN196920 AXJ196920 BHF196920 BRB196920 CAX196920 CKT196920 CUP196920 DEL196920 DOH196920 DYD196920 EHZ196920 ERV196920 FBR196920 FLN196920 FVJ196920 GFF196920 GPB196920 GYX196920 HIT196920 HSP196920 ICL196920 IMH196920 IWD196920 JFZ196920 JPV196920 JZR196920 KJN196920 KTJ196920 LDF196920 LNB196920 LWX196920 MGT196920 MQP196920 NAL196920 NKH196920 NUD196920 ODZ196920 ONV196920 OXR196920 PHN196920 PRJ196920 QBF196920 QLB196920 QUX196920 RET196920 ROP196920 RYL196920 SIH196920 SSD196920 TBZ196920 TLV196920 TVR196920 UFN196920 UPJ196920 UZF196920 VJB196920 VSX196920 WCT196920 WMP196920 WWL196920 AD262456 JZ262456 TV262456 ADR262456 ANN262456 AXJ262456 BHF262456 BRB262456 CAX262456 CKT262456 CUP262456 DEL262456 DOH262456 DYD262456 EHZ262456 ERV262456 FBR262456 FLN262456 FVJ262456 GFF262456 GPB262456 GYX262456 HIT262456 HSP262456 ICL262456 IMH262456 IWD262456 JFZ262456 JPV262456 JZR262456 KJN262456 KTJ262456 LDF262456 LNB262456 LWX262456 MGT262456 MQP262456 NAL262456 NKH262456 NUD262456 ODZ262456 ONV262456 OXR262456 PHN262456 PRJ262456 QBF262456 QLB262456 QUX262456 RET262456 ROP262456 RYL262456 SIH262456 SSD262456 TBZ262456 TLV262456 TVR262456 UFN262456 UPJ262456 UZF262456 VJB262456 VSX262456 WCT262456 WMP262456 WWL262456 AD327992 JZ327992 TV327992 ADR327992 ANN327992 AXJ327992 BHF327992 BRB327992 CAX327992 CKT327992 CUP327992 DEL327992 DOH327992 DYD327992 EHZ327992 ERV327992 FBR327992 FLN327992 FVJ327992 GFF327992 GPB327992 GYX327992 HIT327992 HSP327992 ICL327992 IMH327992 IWD327992 JFZ327992 JPV327992 JZR327992 KJN327992 KTJ327992 LDF327992 LNB327992 LWX327992 MGT327992 MQP327992 NAL327992 NKH327992 NUD327992 ODZ327992 ONV327992 OXR327992 PHN327992 PRJ327992 QBF327992 QLB327992 QUX327992 RET327992 ROP327992 RYL327992 SIH327992 SSD327992 TBZ327992 TLV327992 TVR327992 UFN327992 UPJ327992 UZF327992 VJB327992 VSX327992 WCT327992 WMP327992 WWL327992 AD393528 JZ393528 TV393528 ADR393528 ANN393528 AXJ393528 BHF393528 BRB393528 CAX393528 CKT393528 CUP393528 DEL393528 DOH393528 DYD393528 EHZ393528 ERV393528 FBR393528 FLN393528 FVJ393528 GFF393528 GPB393528 GYX393528 HIT393528 HSP393528 ICL393528 IMH393528 IWD393528 JFZ393528 JPV393528 JZR393528 KJN393528 KTJ393528 LDF393528 LNB393528 LWX393528 MGT393528 MQP393528 NAL393528 NKH393528 NUD393528 ODZ393528 ONV393528 OXR393528 PHN393528 PRJ393528 QBF393528 QLB393528 QUX393528 RET393528 ROP393528 RYL393528 SIH393528 SSD393528 TBZ393528 TLV393528 TVR393528 UFN393528 UPJ393528 UZF393528 VJB393528 VSX393528 WCT393528 WMP393528 WWL393528 AD459064 JZ459064 TV459064 ADR459064 ANN459064 AXJ459064 BHF459064 BRB459064 CAX459064 CKT459064 CUP459064 DEL459064 DOH459064 DYD459064 EHZ459064 ERV459064 FBR459064 FLN459064 FVJ459064 GFF459064 GPB459064 GYX459064 HIT459064 HSP459064 ICL459064 IMH459064 IWD459064 JFZ459064 JPV459064 JZR459064 KJN459064 KTJ459064 LDF459064 LNB459064 LWX459064 MGT459064 MQP459064 NAL459064 NKH459064 NUD459064 ODZ459064 ONV459064 OXR459064 PHN459064 PRJ459064 QBF459064 QLB459064 QUX459064 RET459064 ROP459064 RYL459064 SIH459064 SSD459064 TBZ459064 TLV459064 TVR459064 UFN459064 UPJ459064 UZF459064 VJB459064 VSX459064 WCT459064 WMP459064 WWL459064 AD524600 JZ524600 TV524600 ADR524600 ANN524600 AXJ524600 BHF524600 BRB524600 CAX524600 CKT524600 CUP524600 DEL524600 DOH524600 DYD524600 EHZ524600 ERV524600 FBR524600 FLN524600 FVJ524600 GFF524600 GPB524600 GYX524600 HIT524600 HSP524600 ICL524600 IMH524600 IWD524600 JFZ524600 JPV524600 JZR524600 KJN524600 KTJ524600 LDF524600 LNB524600 LWX524600 MGT524600 MQP524600 NAL524600 NKH524600 NUD524600 ODZ524600 ONV524600 OXR524600 PHN524600 PRJ524600 QBF524600 QLB524600 QUX524600 RET524600 ROP524600 RYL524600 SIH524600 SSD524600 TBZ524600 TLV524600 TVR524600 UFN524600 UPJ524600 UZF524600 VJB524600 VSX524600 WCT524600 WMP524600 WWL524600 AD590136 JZ590136 TV590136 ADR590136 ANN590136 AXJ590136 BHF590136 BRB590136 CAX590136 CKT590136 CUP590136 DEL590136 DOH590136 DYD590136 EHZ590136 ERV590136 FBR590136 FLN590136 FVJ590136 GFF590136 GPB590136 GYX590136 HIT590136 HSP590136 ICL590136 IMH590136 IWD590136 JFZ590136 JPV590136 JZR590136 KJN590136 KTJ590136 LDF590136 LNB590136 LWX590136 MGT590136 MQP590136 NAL590136 NKH590136 NUD590136 ODZ590136 ONV590136 OXR590136 PHN590136 PRJ590136 QBF590136 QLB590136 QUX590136 RET590136 ROP590136 RYL590136 SIH590136 SSD590136 TBZ590136 TLV590136 TVR590136 UFN590136 UPJ590136 UZF590136 VJB590136 VSX590136 WCT590136 WMP590136 WWL590136 AD655672 JZ655672 TV655672 ADR655672 ANN655672 AXJ655672 BHF655672 BRB655672 CAX655672 CKT655672 CUP655672 DEL655672 DOH655672 DYD655672 EHZ655672 ERV655672 FBR655672 FLN655672 FVJ655672 GFF655672 GPB655672 GYX655672 HIT655672 HSP655672 ICL655672 IMH655672 IWD655672 JFZ655672 JPV655672 JZR655672 KJN655672 KTJ655672 LDF655672 LNB655672 LWX655672 MGT655672 MQP655672 NAL655672 NKH655672 NUD655672 ODZ655672 ONV655672 OXR655672 PHN655672 PRJ655672 QBF655672 QLB655672 QUX655672 RET655672 ROP655672 RYL655672 SIH655672 SSD655672 TBZ655672 TLV655672 TVR655672 UFN655672 UPJ655672 UZF655672 VJB655672 VSX655672 WCT655672 WMP655672 WWL655672 AD721208 JZ721208 TV721208 ADR721208 ANN721208 AXJ721208 BHF721208 BRB721208 CAX721208 CKT721208 CUP721208 DEL721208 DOH721208 DYD721208 EHZ721208 ERV721208 FBR721208 FLN721208 FVJ721208 GFF721208 GPB721208 GYX721208 HIT721208 HSP721208 ICL721208 IMH721208 IWD721208 JFZ721208 JPV721208 JZR721208 KJN721208 KTJ721208 LDF721208 LNB721208 LWX721208 MGT721208 MQP721208 NAL721208 NKH721208 NUD721208 ODZ721208 ONV721208 OXR721208 PHN721208 PRJ721208 QBF721208 QLB721208 QUX721208 RET721208 ROP721208 RYL721208 SIH721208 SSD721208 TBZ721208 TLV721208 TVR721208 UFN721208 UPJ721208 UZF721208 VJB721208 VSX721208 WCT721208 WMP721208 WWL721208 AD786744 JZ786744 TV786744 ADR786744 ANN786744 AXJ786744 BHF786744 BRB786744 CAX786744 CKT786744 CUP786744 DEL786744 DOH786744 DYD786744 EHZ786744 ERV786744 FBR786744 FLN786744 FVJ786744 GFF786744 GPB786744 GYX786744 HIT786744 HSP786744 ICL786744 IMH786744 IWD786744 JFZ786744 JPV786744 JZR786744 KJN786744 KTJ786744 LDF786744 LNB786744 LWX786744 MGT786744 MQP786744 NAL786744 NKH786744 NUD786744 ODZ786744 ONV786744 OXR786744 PHN786744 PRJ786744 QBF786744 QLB786744 QUX786744 RET786744 ROP786744 RYL786744 SIH786744 SSD786744 TBZ786744 TLV786744 TVR786744 UFN786744 UPJ786744 UZF786744 VJB786744 VSX786744 WCT786744 WMP786744 WWL786744 AD852280 JZ852280 TV852280 ADR852280 ANN852280 AXJ852280 BHF852280 BRB852280 CAX852280 CKT852280 CUP852280 DEL852280 DOH852280 DYD852280 EHZ852280 ERV852280 FBR852280 FLN852280 FVJ852280 GFF852280 GPB852280 GYX852280 HIT852280 HSP852280 ICL852280 IMH852280 IWD852280 JFZ852280 JPV852280 JZR852280 KJN852280 KTJ852280 LDF852280 LNB852280 LWX852280 MGT852280 MQP852280 NAL852280 NKH852280 NUD852280 ODZ852280 ONV852280 OXR852280 PHN852280 PRJ852280 QBF852280 QLB852280 QUX852280 RET852280 ROP852280 RYL852280 SIH852280 SSD852280 TBZ852280 TLV852280 TVR852280 UFN852280 UPJ852280 UZF852280 VJB852280 VSX852280 WCT852280 WMP852280 WWL852280 AD917816 JZ917816 TV917816 ADR917816 ANN917816 AXJ917816 BHF917816 BRB917816 CAX917816 CKT917816 CUP917816 DEL917816 DOH917816 DYD917816 EHZ917816 ERV917816 FBR917816 FLN917816 FVJ917816 GFF917816 GPB917816 GYX917816 HIT917816 HSP917816 ICL917816 IMH917816 IWD917816 JFZ917816 JPV917816 JZR917816 KJN917816 KTJ917816 LDF917816 LNB917816 LWX917816 MGT917816 MQP917816 NAL917816 NKH917816 NUD917816 ODZ917816 ONV917816 OXR917816 PHN917816 PRJ917816 QBF917816 QLB917816 QUX917816 RET917816 ROP917816 RYL917816 SIH917816 SSD917816 TBZ917816 TLV917816 TVR917816 UFN917816 UPJ917816 UZF917816 VJB917816 VSX917816 WCT917816 WMP917816 WWL917816 AD983352 JZ983352 TV983352 ADR983352 ANN983352 AXJ983352 BHF983352 BRB983352 CAX983352 CKT983352 CUP983352 DEL983352 DOH983352 DYD983352 EHZ983352 ERV983352 FBR983352 FLN983352 FVJ983352 GFF983352 GPB983352 GYX983352 HIT983352 HSP983352 ICL983352 IMH983352 IWD983352 JFZ983352 JPV983352 JZR983352 KJN983352 KTJ983352 LDF983352 LNB983352 LWX983352 MGT983352 MQP983352 NAL983352 NKH983352 NUD983352 ODZ983352 ONV983352 OXR983352 PHN983352 PRJ983352 QBF983352 QLB983352 QUX983352 RET983352 ROP983352 RYL983352 SIH983352 SSD983352 TBZ983352 TLV983352 TVR983352 UFN983352 UPJ983352 UZF983352 VJB983352 VSX983352 WCT983352 WMP983352 WWL983352 AD314 JZ314 TV314 ADR314 ANN314 AXJ314 BHF314 BRB314 CAX314 CKT314 CUP314 DEL314 DOH314 DYD314 EHZ314 ERV314 FBR314 FLN314 FVJ314 GFF314 GPB314 GYX314 HIT314 HSP314 ICL314 IMH314 IWD314 JFZ314 JPV314 JZR314 KJN314 KTJ314 LDF314 LNB314 LWX314 MGT314 MQP314 NAL314 NKH314 NUD314 ODZ314 ONV314 OXR314 PHN314 PRJ314 QBF314 QLB314 QUX314 RET314 ROP314 RYL314 SIH314 SSD314 TBZ314 TLV314 TVR314 UFN314 UPJ314 UZF314 VJB314 VSX314 WCT314 WMP314 WWL314 AD65850 JZ65850 TV65850 ADR65850 ANN65850 AXJ65850 BHF65850 BRB65850 CAX65850 CKT65850 CUP65850 DEL65850 DOH65850 DYD65850 EHZ65850 ERV65850 FBR65850 FLN65850 FVJ65850 GFF65850 GPB65850 GYX65850 HIT65850 HSP65850 ICL65850 IMH65850 IWD65850 JFZ65850 JPV65850 JZR65850 KJN65850 KTJ65850 LDF65850 LNB65850 LWX65850 MGT65850 MQP65850 NAL65850 NKH65850 NUD65850 ODZ65850 ONV65850 OXR65850 PHN65850 PRJ65850 QBF65850 QLB65850 QUX65850 RET65850 ROP65850 RYL65850 SIH65850 SSD65850 TBZ65850 TLV65850 TVR65850 UFN65850 UPJ65850 UZF65850 VJB65850 VSX65850 WCT65850 WMP65850 WWL65850 AD131386 JZ131386 TV131386 ADR131386 ANN131386 AXJ131386 BHF131386 BRB131386 CAX131386 CKT131386 CUP131386 DEL131386 DOH131386 DYD131386 EHZ131386 ERV131386 FBR131386 FLN131386 FVJ131386 GFF131386 GPB131386 GYX131386 HIT131386 HSP131386 ICL131386 IMH131386 IWD131386 JFZ131386 JPV131386 JZR131386 KJN131386 KTJ131386 LDF131386 LNB131386 LWX131386 MGT131386 MQP131386 NAL131386 NKH131386 NUD131386 ODZ131386 ONV131386 OXR131386 PHN131386 PRJ131386 QBF131386 QLB131386 QUX131386 RET131386 ROP131386 RYL131386 SIH131386 SSD131386 TBZ131386 TLV131386 TVR131386 UFN131386 UPJ131386 UZF131386 VJB131386 VSX131386 WCT131386 WMP131386 WWL131386 AD196922 JZ196922 TV196922 ADR196922 ANN196922 AXJ196922 BHF196922 BRB196922 CAX196922 CKT196922 CUP196922 DEL196922 DOH196922 DYD196922 EHZ196922 ERV196922 FBR196922 FLN196922 FVJ196922 GFF196922 GPB196922 GYX196922 HIT196922 HSP196922 ICL196922 IMH196922 IWD196922 JFZ196922 JPV196922 JZR196922 KJN196922 KTJ196922 LDF196922 LNB196922 LWX196922 MGT196922 MQP196922 NAL196922 NKH196922 NUD196922 ODZ196922 ONV196922 OXR196922 PHN196922 PRJ196922 QBF196922 QLB196922 QUX196922 RET196922 ROP196922 RYL196922 SIH196922 SSD196922 TBZ196922 TLV196922 TVR196922 UFN196922 UPJ196922 UZF196922 VJB196922 VSX196922 WCT196922 WMP196922 WWL196922 AD262458 JZ262458 TV262458 ADR262458 ANN262458 AXJ262458 BHF262458 BRB262458 CAX262458 CKT262458 CUP262458 DEL262458 DOH262458 DYD262458 EHZ262458 ERV262458 FBR262458 FLN262458 FVJ262458 GFF262458 GPB262458 GYX262458 HIT262458 HSP262458 ICL262458 IMH262458 IWD262458 JFZ262458 JPV262458 JZR262458 KJN262458 KTJ262458 LDF262458 LNB262458 LWX262458 MGT262458 MQP262458 NAL262458 NKH262458 NUD262458 ODZ262458 ONV262458 OXR262458 PHN262458 PRJ262458 QBF262458 QLB262458 QUX262458 RET262458 ROP262458 RYL262458 SIH262458 SSD262458 TBZ262458 TLV262458 TVR262458 UFN262458 UPJ262458 UZF262458 VJB262458 VSX262458 WCT262458 WMP262458 WWL262458 AD327994 JZ327994 TV327994 ADR327994 ANN327994 AXJ327994 BHF327994 BRB327994 CAX327994 CKT327994 CUP327994 DEL327994 DOH327994 DYD327994 EHZ327994 ERV327994 FBR327994 FLN327994 FVJ327994 GFF327994 GPB327994 GYX327994 HIT327994 HSP327994 ICL327994 IMH327994 IWD327994 JFZ327994 JPV327994 JZR327994 KJN327994 KTJ327994 LDF327994 LNB327994 LWX327994 MGT327994 MQP327994 NAL327994 NKH327994 NUD327994 ODZ327994 ONV327994 OXR327994 PHN327994 PRJ327994 QBF327994 QLB327994 QUX327994 RET327994 ROP327994 RYL327994 SIH327994 SSD327994 TBZ327994 TLV327994 TVR327994 UFN327994 UPJ327994 UZF327994 VJB327994 VSX327994 WCT327994 WMP327994 WWL327994 AD393530 JZ393530 TV393530 ADR393530 ANN393530 AXJ393530 BHF393530 BRB393530 CAX393530 CKT393530 CUP393530 DEL393530 DOH393530 DYD393530 EHZ393530 ERV393530 FBR393530 FLN393530 FVJ393530 GFF393530 GPB393530 GYX393530 HIT393530 HSP393530 ICL393530 IMH393530 IWD393530 JFZ393530 JPV393530 JZR393530 KJN393530 KTJ393530 LDF393530 LNB393530 LWX393530 MGT393530 MQP393530 NAL393530 NKH393530 NUD393530 ODZ393530 ONV393530 OXR393530 PHN393530 PRJ393530 QBF393530 QLB393530 QUX393530 RET393530 ROP393530 RYL393530 SIH393530 SSD393530 TBZ393530 TLV393530 TVR393530 UFN393530 UPJ393530 UZF393530 VJB393530 VSX393530 WCT393530 WMP393530 WWL393530 AD459066 JZ459066 TV459066 ADR459066 ANN459066 AXJ459066 BHF459066 BRB459066 CAX459066 CKT459066 CUP459066 DEL459066 DOH459066 DYD459066 EHZ459066 ERV459066 FBR459066 FLN459066 FVJ459066 GFF459066 GPB459066 GYX459066 HIT459066 HSP459066 ICL459066 IMH459066 IWD459066 JFZ459066 JPV459066 JZR459066 KJN459066 KTJ459066 LDF459066 LNB459066 LWX459066 MGT459066 MQP459066 NAL459066 NKH459066 NUD459066 ODZ459066 ONV459066 OXR459066 PHN459066 PRJ459066 QBF459066 QLB459066 QUX459066 RET459066 ROP459066 RYL459066 SIH459066 SSD459066 TBZ459066 TLV459066 TVR459066 UFN459066 UPJ459066 UZF459066 VJB459066 VSX459066 WCT459066 WMP459066 WWL459066 AD524602 JZ524602 TV524602 ADR524602 ANN524602 AXJ524602 BHF524602 BRB524602 CAX524602 CKT524602 CUP524602 DEL524602 DOH524602 DYD524602 EHZ524602 ERV524602 FBR524602 FLN524602 FVJ524602 GFF524602 GPB524602 GYX524602 HIT524602 HSP524602 ICL524602 IMH524602 IWD524602 JFZ524602 JPV524602 JZR524602 KJN524602 KTJ524602 LDF524602 LNB524602 LWX524602 MGT524602 MQP524602 NAL524602 NKH524602 NUD524602 ODZ524602 ONV524602 OXR524602 PHN524602 PRJ524602 QBF524602 QLB524602 QUX524602 RET524602 ROP524602 RYL524602 SIH524602 SSD524602 TBZ524602 TLV524602 TVR524602 UFN524602 UPJ524602 UZF524602 VJB524602 VSX524602 WCT524602 WMP524602 WWL524602 AD590138 JZ590138 TV590138 ADR590138 ANN590138 AXJ590138 BHF590138 BRB590138 CAX590138 CKT590138 CUP590138 DEL590138 DOH590138 DYD590138 EHZ590138 ERV590138 FBR590138 FLN590138 FVJ590138 GFF590138 GPB590138 GYX590138 HIT590138 HSP590138 ICL590138 IMH590138 IWD590138 JFZ590138 JPV590138 JZR590138 KJN590138 KTJ590138 LDF590138 LNB590138 LWX590138 MGT590138 MQP590138 NAL590138 NKH590138 NUD590138 ODZ590138 ONV590138 OXR590138 PHN590138 PRJ590138 QBF590138 QLB590138 QUX590138 RET590138 ROP590138 RYL590138 SIH590138 SSD590138 TBZ590138 TLV590138 TVR590138 UFN590138 UPJ590138 UZF590138 VJB590138 VSX590138 WCT590138 WMP590138 WWL590138 AD655674 JZ655674 TV655674 ADR655674 ANN655674 AXJ655674 BHF655674 BRB655674 CAX655674 CKT655674 CUP655674 DEL655674 DOH655674 DYD655674 EHZ655674 ERV655674 FBR655674 FLN655674 FVJ655674 GFF655674 GPB655674 GYX655674 HIT655674 HSP655674 ICL655674 IMH655674 IWD655674 JFZ655674 JPV655674 JZR655674 KJN655674 KTJ655674 LDF655674 LNB655674 LWX655674 MGT655674 MQP655674 NAL655674 NKH655674 NUD655674 ODZ655674 ONV655674 OXR655674 PHN655674 PRJ655674 QBF655674 QLB655674 QUX655674 RET655674 ROP655674 RYL655674 SIH655674 SSD655674 TBZ655674 TLV655674 TVR655674 UFN655674 UPJ655674 UZF655674 VJB655674 VSX655674 WCT655674 WMP655674 WWL655674 AD721210 JZ721210 TV721210 ADR721210 ANN721210 AXJ721210 BHF721210 BRB721210 CAX721210 CKT721210 CUP721210 DEL721210 DOH721210 DYD721210 EHZ721210 ERV721210 FBR721210 FLN721210 FVJ721210 GFF721210 GPB721210 GYX721210 HIT721210 HSP721210 ICL721210 IMH721210 IWD721210 JFZ721210 JPV721210 JZR721210 KJN721210 KTJ721210 LDF721210 LNB721210 LWX721210 MGT721210 MQP721210 NAL721210 NKH721210 NUD721210 ODZ721210 ONV721210 OXR721210 PHN721210 PRJ721210 QBF721210 QLB721210 QUX721210 RET721210 ROP721210 RYL721210 SIH721210 SSD721210 TBZ721210 TLV721210 TVR721210 UFN721210 UPJ721210 UZF721210 VJB721210 VSX721210 WCT721210 WMP721210 WWL721210 AD786746 JZ786746 TV786746 ADR786746 ANN786746 AXJ786746 BHF786746 BRB786746 CAX786746 CKT786746 CUP786746 DEL786746 DOH786746 DYD786746 EHZ786746 ERV786746 FBR786746 FLN786746 FVJ786746 GFF786746 GPB786746 GYX786746 HIT786746 HSP786746 ICL786746 IMH786746 IWD786746 JFZ786746 JPV786746 JZR786746 KJN786746 KTJ786746 LDF786746 LNB786746 LWX786746 MGT786746 MQP786746 NAL786746 NKH786746 NUD786746 ODZ786746 ONV786746 OXR786746 PHN786746 PRJ786746 QBF786746 QLB786746 QUX786746 RET786746 ROP786746 RYL786746 SIH786746 SSD786746 TBZ786746 TLV786746 TVR786746 UFN786746 UPJ786746 UZF786746 VJB786746 VSX786746 WCT786746 WMP786746 WWL786746 AD852282 JZ852282 TV852282 ADR852282 ANN852282 AXJ852282 BHF852282 BRB852282 CAX852282 CKT852282 CUP852282 DEL852282 DOH852282 DYD852282 EHZ852282 ERV852282 FBR852282 FLN852282 FVJ852282 GFF852282 GPB852282 GYX852282 HIT852282 HSP852282 ICL852282 IMH852282 IWD852282 JFZ852282 JPV852282 JZR852282 KJN852282 KTJ852282 LDF852282 LNB852282 LWX852282 MGT852282 MQP852282 NAL852282 NKH852282 NUD852282 ODZ852282 ONV852282 OXR852282 PHN852282 PRJ852282 QBF852282 QLB852282 QUX852282 RET852282 ROP852282 RYL852282 SIH852282 SSD852282 TBZ852282 TLV852282 TVR852282 UFN852282 UPJ852282 UZF852282 VJB852282 VSX852282 WCT852282 WMP852282 WWL852282 AD917818 JZ917818 TV917818 ADR917818 ANN917818 AXJ917818 BHF917818 BRB917818 CAX917818 CKT917818 CUP917818 DEL917818 DOH917818 DYD917818 EHZ917818 ERV917818 FBR917818 FLN917818 FVJ917818 GFF917818 GPB917818 GYX917818 HIT917818 HSP917818 ICL917818 IMH917818 IWD917818 JFZ917818 JPV917818 JZR917818 KJN917818 KTJ917818 LDF917818 LNB917818 LWX917818 MGT917818 MQP917818 NAL917818 NKH917818 NUD917818 ODZ917818 ONV917818 OXR917818 PHN917818 PRJ917818 QBF917818 QLB917818 QUX917818 RET917818 ROP917818 RYL917818 SIH917818 SSD917818 TBZ917818 TLV917818 TVR917818 UFN917818 UPJ917818 UZF917818 VJB917818 VSX917818 WCT917818 WMP917818 WWL917818 AD983354 JZ983354 TV983354 ADR983354 ANN983354 AXJ983354 BHF983354 BRB983354 CAX983354 CKT983354 CUP983354 DEL983354 DOH983354 DYD983354 EHZ983354 ERV983354 FBR983354 FLN983354 FVJ983354 GFF983354 GPB983354 GYX983354 HIT983354 HSP983354 ICL983354 IMH983354 IWD983354 JFZ983354 JPV983354 JZR983354 KJN983354 KTJ983354 LDF983354 LNB983354 LWX983354 MGT983354 MQP983354 NAL983354 NKH983354 NUD983354 ODZ983354 ONV983354 OXR983354 PHN983354 PRJ983354 QBF983354 QLB983354 QUX983354 RET983354 ROP983354 RYL983354 SIH983354 SSD983354 TBZ983354 TLV983354 TVR983354 UFN983354 UPJ983354 UZF983354 VJB983354 VSX983354 WCT983354 WMP983354 WWL983354 N294 JJ294 TF294 ADB294 AMX294 AWT294 BGP294 BQL294 CAH294 CKD294 CTZ294 DDV294 DNR294 DXN294 EHJ294 ERF294 FBB294 FKX294 FUT294 GEP294 GOL294 GYH294 HID294 HRZ294 IBV294 ILR294 IVN294 JFJ294 JPF294 JZB294 KIX294 KST294 LCP294 LML294 LWH294 MGD294 MPZ294 MZV294 NJR294 NTN294 ODJ294 ONF294 OXB294 PGX294 PQT294 QAP294 QKL294 QUH294 RED294 RNZ294 RXV294 SHR294 SRN294 TBJ294 TLF294 TVB294 UEX294 UOT294 UYP294 VIL294 VSH294 WCD294 WLZ294 WVV294 N65830 JJ65830 TF65830 ADB65830 AMX65830 AWT65830 BGP65830 BQL65830 CAH65830 CKD65830 CTZ65830 DDV65830 DNR65830 DXN65830 EHJ65830 ERF65830 FBB65830 FKX65830 FUT65830 GEP65830 GOL65830 GYH65830 HID65830 HRZ65830 IBV65830 ILR65830 IVN65830 JFJ65830 JPF65830 JZB65830 KIX65830 KST65830 LCP65830 LML65830 LWH65830 MGD65830 MPZ65830 MZV65830 NJR65830 NTN65830 ODJ65830 ONF65830 OXB65830 PGX65830 PQT65830 QAP65830 QKL65830 QUH65830 RED65830 RNZ65830 RXV65830 SHR65830 SRN65830 TBJ65830 TLF65830 TVB65830 UEX65830 UOT65830 UYP65830 VIL65830 VSH65830 WCD65830 WLZ65830 WVV65830 N131366 JJ131366 TF131366 ADB131366 AMX131366 AWT131366 BGP131366 BQL131366 CAH131366 CKD131366 CTZ131366 DDV131366 DNR131366 DXN131366 EHJ131366 ERF131366 FBB131366 FKX131366 FUT131366 GEP131366 GOL131366 GYH131366 HID131366 HRZ131366 IBV131366 ILR131366 IVN131366 JFJ131366 JPF131366 JZB131366 KIX131366 KST131366 LCP131366 LML131366 LWH131366 MGD131366 MPZ131366 MZV131366 NJR131366 NTN131366 ODJ131366 ONF131366 OXB131366 PGX131366 PQT131366 QAP131366 QKL131366 QUH131366 RED131366 RNZ131366 RXV131366 SHR131366 SRN131366 TBJ131366 TLF131366 TVB131366 UEX131366 UOT131366 UYP131366 VIL131366 VSH131366 WCD131366 WLZ131366 WVV131366 N196902 JJ196902 TF196902 ADB196902 AMX196902 AWT196902 BGP196902 BQL196902 CAH196902 CKD196902 CTZ196902 DDV196902 DNR196902 DXN196902 EHJ196902 ERF196902 FBB196902 FKX196902 FUT196902 GEP196902 GOL196902 GYH196902 HID196902 HRZ196902 IBV196902 ILR196902 IVN196902 JFJ196902 JPF196902 JZB196902 KIX196902 KST196902 LCP196902 LML196902 LWH196902 MGD196902 MPZ196902 MZV196902 NJR196902 NTN196902 ODJ196902 ONF196902 OXB196902 PGX196902 PQT196902 QAP196902 QKL196902 QUH196902 RED196902 RNZ196902 RXV196902 SHR196902 SRN196902 TBJ196902 TLF196902 TVB196902 UEX196902 UOT196902 UYP196902 VIL196902 VSH196902 WCD196902 WLZ196902 WVV196902 N262438 JJ262438 TF262438 ADB262438 AMX262438 AWT262438 BGP262438 BQL262438 CAH262438 CKD262438 CTZ262438 DDV262438 DNR262438 DXN262438 EHJ262438 ERF262438 FBB262438 FKX262438 FUT262438 GEP262438 GOL262438 GYH262438 HID262438 HRZ262438 IBV262438 ILR262438 IVN262438 JFJ262438 JPF262438 JZB262438 KIX262438 KST262438 LCP262438 LML262438 LWH262438 MGD262438 MPZ262438 MZV262438 NJR262438 NTN262438 ODJ262438 ONF262438 OXB262438 PGX262438 PQT262438 QAP262438 QKL262438 QUH262438 RED262438 RNZ262438 RXV262438 SHR262438 SRN262438 TBJ262438 TLF262438 TVB262438 UEX262438 UOT262438 UYP262438 VIL262438 VSH262438 WCD262438 WLZ262438 WVV262438 N327974 JJ327974 TF327974 ADB327974 AMX327974 AWT327974 BGP327974 BQL327974 CAH327974 CKD327974 CTZ327974 DDV327974 DNR327974 DXN327974 EHJ327974 ERF327974 FBB327974 FKX327974 FUT327974 GEP327974 GOL327974 GYH327974 HID327974 HRZ327974 IBV327974 ILR327974 IVN327974 JFJ327974 JPF327974 JZB327974 KIX327974 KST327974 LCP327974 LML327974 LWH327974 MGD327974 MPZ327974 MZV327974 NJR327974 NTN327974 ODJ327974 ONF327974 OXB327974 PGX327974 PQT327974 QAP327974 QKL327974 QUH327974 RED327974 RNZ327974 RXV327974 SHR327974 SRN327974 TBJ327974 TLF327974 TVB327974 UEX327974 UOT327974 UYP327974 VIL327974 VSH327974 WCD327974 WLZ327974 WVV327974 N393510 JJ393510 TF393510 ADB393510 AMX393510 AWT393510 BGP393510 BQL393510 CAH393510 CKD393510 CTZ393510 DDV393510 DNR393510 DXN393510 EHJ393510 ERF393510 FBB393510 FKX393510 FUT393510 GEP393510 GOL393510 GYH393510 HID393510 HRZ393510 IBV393510 ILR393510 IVN393510 JFJ393510 JPF393510 JZB393510 KIX393510 KST393510 LCP393510 LML393510 LWH393510 MGD393510 MPZ393510 MZV393510 NJR393510 NTN393510 ODJ393510 ONF393510 OXB393510 PGX393510 PQT393510 QAP393510 QKL393510 QUH393510 RED393510 RNZ393510 RXV393510 SHR393510 SRN393510 TBJ393510 TLF393510 TVB393510 UEX393510 UOT393510 UYP393510 VIL393510 VSH393510 WCD393510 WLZ393510 WVV393510 N459046 JJ459046 TF459046 ADB459046 AMX459046 AWT459046 BGP459046 BQL459046 CAH459046 CKD459046 CTZ459046 DDV459046 DNR459046 DXN459046 EHJ459046 ERF459046 FBB459046 FKX459046 FUT459046 GEP459046 GOL459046 GYH459046 HID459046 HRZ459046 IBV459046 ILR459046 IVN459046 JFJ459046 JPF459046 JZB459046 KIX459046 KST459046 LCP459046 LML459046 LWH459046 MGD459046 MPZ459046 MZV459046 NJR459046 NTN459046 ODJ459046 ONF459046 OXB459046 PGX459046 PQT459046 QAP459046 QKL459046 QUH459046 RED459046 RNZ459046 RXV459046 SHR459046 SRN459046 TBJ459046 TLF459046 TVB459046 UEX459046 UOT459046 UYP459046 VIL459046 VSH459046 WCD459046 WLZ459046 WVV459046 N524582 JJ524582 TF524582 ADB524582 AMX524582 AWT524582 BGP524582 BQL524582 CAH524582 CKD524582 CTZ524582 DDV524582 DNR524582 DXN524582 EHJ524582 ERF524582 FBB524582 FKX524582 FUT524582 GEP524582 GOL524582 GYH524582 HID524582 HRZ524582 IBV524582 ILR524582 IVN524582 JFJ524582 JPF524582 JZB524582 KIX524582 KST524582 LCP524582 LML524582 LWH524582 MGD524582 MPZ524582 MZV524582 NJR524582 NTN524582 ODJ524582 ONF524582 OXB524582 PGX524582 PQT524582 QAP524582 QKL524582 QUH524582 RED524582 RNZ524582 RXV524582 SHR524582 SRN524582 TBJ524582 TLF524582 TVB524582 UEX524582 UOT524582 UYP524582 VIL524582 VSH524582 WCD524582 WLZ524582 WVV524582 N590118 JJ590118 TF590118 ADB590118 AMX590118 AWT590118 BGP590118 BQL590118 CAH590118 CKD590118 CTZ590118 DDV590118 DNR590118 DXN590118 EHJ590118 ERF590118 FBB590118 FKX590118 FUT590118 GEP590118 GOL590118 GYH590118 HID590118 HRZ590118 IBV590118 ILR590118 IVN590118 JFJ590118 JPF590118 JZB590118 KIX590118 KST590118 LCP590118 LML590118 LWH590118 MGD590118 MPZ590118 MZV590118 NJR590118 NTN590118 ODJ590118 ONF590118 OXB590118 PGX590118 PQT590118 QAP590118 QKL590118 QUH590118 RED590118 RNZ590118 RXV590118 SHR590118 SRN590118 TBJ590118 TLF590118 TVB590118 UEX590118 UOT590118 UYP590118 VIL590118 VSH590118 WCD590118 WLZ590118 WVV590118 N655654 JJ655654 TF655654 ADB655654 AMX655654 AWT655654 BGP655654 BQL655654 CAH655654 CKD655654 CTZ655654 DDV655654 DNR655654 DXN655654 EHJ655654 ERF655654 FBB655654 FKX655654 FUT655654 GEP655654 GOL655654 GYH655654 HID655654 HRZ655654 IBV655654 ILR655654 IVN655654 JFJ655654 JPF655654 JZB655654 KIX655654 KST655654 LCP655654 LML655654 LWH655654 MGD655654 MPZ655654 MZV655654 NJR655654 NTN655654 ODJ655654 ONF655654 OXB655654 PGX655654 PQT655654 QAP655654 QKL655654 QUH655654 RED655654 RNZ655654 RXV655654 SHR655654 SRN655654 TBJ655654 TLF655654 TVB655654 UEX655654 UOT655654 UYP655654 VIL655654 VSH655654 WCD655654 WLZ655654 WVV655654 N721190 JJ721190 TF721190 ADB721190 AMX721190 AWT721190 BGP721190 BQL721190 CAH721190 CKD721190 CTZ721190 DDV721190 DNR721190 DXN721190 EHJ721190 ERF721190 FBB721190 FKX721190 FUT721190 GEP721190 GOL721190 GYH721190 HID721190 HRZ721190 IBV721190 ILR721190 IVN721190 JFJ721190 JPF721190 JZB721190 KIX721190 KST721190 LCP721190 LML721190 LWH721190 MGD721190 MPZ721190 MZV721190 NJR721190 NTN721190 ODJ721190 ONF721190 OXB721190 PGX721190 PQT721190 QAP721190 QKL721190 QUH721190 RED721190 RNZ721190 RXV721190 SHR721190 SRN721190 TBJ721190 TLF721190 TVB721190 UEX721190 UOT721190 UYP721190 VIL721190 VSH721190 WCD721190 WLZ721190 WVV721190 N786726 JJ786726 TF786726 ADB786726 AMX786726 AWT786726 BGP786726 BQL786726 CAH786726 CKD786726 CTZ786726 DDV786726 DNR786726 DXN786726 EHJ786726 ERF786726 FBB786726 FKX786726 FUT786726 GEP786726 GOL786726 GYH786726 HID786726 HRZ786726 IBV786726 ILR786726 IVN786726 JFJ786726 JPF786726 JZB786726 KIX786726 KST786726 LCP786726 LML786726 LWH786726 MGD786726 MPZ786726 MZV786726 NJR786726 NTN786726 ODJ786726 ONF786726 OXB786726 PGX786726 PQT786726 QAP786726 QKL786726 QUH786726 RED786726 RNZ786726 RXV786726 SHR786726 SRN786726 TBJ786726 TLF786726 TVB786726 UEX786726 UOT786726 UYP786726 VIL786726 VSH786726 WCD786726 WLZ786726 WVV786726 N852262 JJ852262 TF852262 ADB852262 AMX852262 AWT852262 BGP852262 BQL852262 CAH852262 CKD852262 CTZ852262 DDV852262 DNR852262 DXN852262 EHJ852262 ERF852262 FBB852262 FKX852262 FUT852262 GEP852262 GOL852262 GYH852262 HID852262 HRZ852262 IBV852262 ILR852262 IVN852262 JFJ852262 JPF852262 JZB852262 KIX852262 KST852262 LCP852262 LML852262 LWH852262 MGD852262 MPZ852262 MZV852262 NJR852262 NTN852262 ODJ852262 ONF852262 OXB852262 PGX852262 PQT852262 QAP852262 QKL852262 QUH852262 RED852262 RNZ852262 RXV852262 SHR852262 SRN852262 TBJ852262 TLF852262 TVB852262 UEX852262 UOT852262 UYP852262 VIL852262 VSH852262 WCD852262 WLZ852262 WVV852262 N917798 JJ917798 TF917798 ADB917798 AMX917798 AWT917798 BGP917798 BQL917798 CAH917798 CKD917798 CTZ917798 DDV917798 DNR917798 DXN917798 EHJ917798 ERF917798 FBB917798 FKX917798 FUT917798 GEP917798 GOL917798 GYH917798 HID917798 HRZ917798 IBV917798 ILR917798 IVN917798 JFJ917798 JPF917798 JZB917798 KIX917798 KST917798 LCP917798 LML917798 LWH917798 MGD917798 MPZ917798 MZV917798 NJR917798 NTN917798 ODJ917798 ONF917798 OXB917798 PGX917798 PQT917798 QAP917798 QKL917798 QUH917798 RED917798 RNZ917798 RXV917798 SHR917798 SRN917798 TBJ917798 TLF917798 TVB917798 UEX917798 UOT917798 UYP917798 VIL917798 VSH917798 WCD917798 WLZ917798 WVV917798 N983334 JJ983334 TF983334 ADB983334 AMX983334 AWT983334 BGP983334 BQL983334 CAH983334 CKD983334 CTZ983334 DDV983334 DNR983334 DXN983334 EHJ983334 ERF983334 FBB983334 FKX983334 FUT983334 GEP983334 GOL983334 GYH983334 HID983334 HRZ983334 IBV983334 ILR983334 IVN983334 JFJ983334 JPF983334 JZB983334 KIX983334 KST983334 LCP983334 LML983334 LWH983334 MGD983334 MPZ983334 MZV983334 NJR983334 NTN983334 ODJ983334 ONF983334 OXB983334 PGX983334 PQT983334 QAP983334 QKL983334 QUH983334 RED983334 RNZ983334 RXV983334 SHR983334 SRN983334 TBJ983334 TLF983334 TVB983334 UEX983334 UOT983334 UYP983334 VIL983334 VSH983334 WCD983334 WLZ983334 WVV983334 N411 JJ411 TF411 ADB411 AMX411 AWT411 BGP411 BQL411 CAH411 CKD411 CTZ411 DDV411 DNR411 DXN411 EHJ411 ERF411 FBB411 FKX411 FUT411 GEP411 GOL411 GYH411 HID411 HRZ411 IBV411 ILR411 IVN411 JFJ411 JPF411 JZB411 KIX411 KST411 LCP411 LML411 LWH411 MGD411 MPZ411 MZV411 NJR411 NTN411 ODJ411 ONF411 OXB411 PGX411 PQT411 QAP411 QKL411 QUH411 RED411 RNZ411 RXV411 SHR411 SRN411 TBJ411 TLF411 TVB411 UEX411 UOT411 UYP411 VIL411 VSH411 WCD411 WLZ411 WVV411 N65947 JJ65947 TF65947 ADB65947 AMX65947 AWT65947 BGP65947 BQL65947 CAH65947 CKD65947 CTZ65947 DDV65947 DNR65947 DXN65947 EHJ65947 ERF65947 FBB65947 FKX65947 FUT65947 GEP65947 GOL65947 GYH65947 HID65947 HRZ65947 IBV65947 ILR65947 IVN65947 JFJ65947 JPF65947 JZB65947 KIX65947 KST65947 LCP65947 LML65947 LWH65947 MGD65947 MPZ65947 MZV65947 NJR65947 NTN65947 ODJ65947 ONF65947 OXB65947 PGX65947 PQT65947 QAP65947 QKL65947 QUH65947 RED65947 RNZ65947 RXV65947 SHR65947 SRN65947 TBJ65947 TLF65947 TVB65947 UEX65947 UOT65947 UYP65947 VIL65947 VSH65947 WCD65947 WLZ65947 WVV65947 N131483 JJ131483 TF131483 ADB131483 AMX131483 AWT131483 BGP131483 BQL131483 CAH131483 CKD131483 CTZ131483 DDV131483 DNR131483 DXN131483 EHJ131483 ERF131483 FBB131483 FKX131483 FUT131483 GEP131483 GOL131483 GYH131483 HID131483 HRZ131483 IBV131483 ILR131483 IVN131483 JFJ131483 JPF131483 JZB131483 KIX131483 KST131483 LCP131483 LML131483 LWH131483 MGD131483 MPZ131483 MZV131483 NJR131483 NTN131483 ODJ131483 ONF131483 OXB131483 PGX131483 PQT131483 QAP131483 QKL131483 QUH131483 RED131483 RNZ131483 RXV131483 SHR131483 SRN131483 TBJ131483 TLF131483 TVB131483 UEX131483 UOT131483 UYP131483 VIL131483 VSH131483 WCD131483 WLZ131483 WVV131483 N197019 JJ197019 TF197019 ADB197019 AMX197019 AWT197019 BGP197019 BQL197019 CAH197019 CKD197019 CTZ197019 DDV197019 DNR197019 DXN197019 EHJ197019 ERF197019 FBB197019 FKX197019 FUT197019 GEP197019 GOL197019 GYH197019 HID197019 HRZ197019 IBV197019 ILR197019 IVN197019 JFJ197019 JPF197019 JZB197019 KIX197019 KST197019 LCP197019 LML197019 LWH197019 MGD197019 MPZ197019 MZV197019 NJR197019 NTN197019 ODJ197019 ONF197019 OXB197019 PGX197019 PQT197019 QAP197019 QKL197019 QUH197019 RED197019 RNZ197019 RXV197019 SHR197019 SRN197019 TBJ197019 TLF197019 TVB197019 UEX197019 UOT197019 UYP197019 VIL197019 VSH197019 WCD197019 WLZ197019 WVV197019 N262555 JJ262555 TF262555 ADB262555 AMX262555 AWT262555 BGP262555 BQL262555 CAH262555 CKD262555 CTZ262555 DDV262555 DNR262555 DXN262555 EHJ262555 ERF262555 FBB262555 FKX262555 FUT262555 GEP262555 GOL262555 GYH262555 HID262555 HRZ262555 IBV262555 ILR262555 IVN262555 JFJ262555 JPF262555 JZB262555 KIX262555 KST262555 LCP262555 LML262555 LWH262555 MGD262555 MPZ262555 MZV262555 NJR262555 NTN262555 ODJ262555 ONF262555 OXB262555 PGX262555 PQT262555 QAP262555 QKL262555 QUH262555 RED262555 RNZ262555 RXV262555 SHR262555 SRN262555 TBJ262555 TLF262555 TVB262555 UEX262555 UOT262555 UYP262555 VIL262555 VSH262555 WCD262555 WLZ262555 WVV262555 N328091 JJ328091 TF328091 ADB328091 AMX328091 AWT328091 BGP328091 BQL328091 CAH328091 CKD328091 CTZ328091 DDV328091 DNR328091 DXN328091 EHJ328091 ERF328091 FBB328091 FKX328091 FUT328091 GEP328091 GOL328091 GYH328091 HID328091 HRZ328091 IBV328091 ILR328091 IVN328091 JFJ328091 JPF328091 JZB328091 KIX328091 KST328091 LCP328091 LML328091 LWH328091 MGD328091 MPZ328091 MZV328091 NJR328091 NTN328091 ODJ328091 ONF328091 OXB328091 PGX328091 PQT328091 QAP328091 QKL328091 QUH328091 RED328091 RNZ328091 RXV328091 SHR328091 SRN328091 TBJ328091 TLF328091 TVB328091 UEX328091 UOT328091 UYP328091 VIL328091 VSH328091 WCD328091 WLZ328091 WVV328091 N393627 JJ393627 TF393627 ADB393627 AMX393627 AWT393627 BGP393627 BQL393627 CAH393627 CKD393627 CTZ393627 DDV393627 DNR393627 DXN393627 EHJ393627 ERF393627 FBB393627 FKX393627 FUT393627 GEP393627 GOL393627 GYH393627 HID393627 HRZ393627 IBV393627 ILR393627 IVN393627 JFJ393627 JPF393627 JZB393627 KIX393627 KST393627 LCP393627 LML393627 LWH393627 MGD393627 MPZ393627 MZV393627 NJR393627 NTN393627 ODJ393627 ONF393627 OXB393627 PGX393627 PQT393627 QAP393627 QKL393627 QUH393627 RED393627 RNZ393627 RXV393627 SHR393627 SRN393627 TBJ393627 TLF393627 TVB393627 UEX393627 UOT393627 UYP393627 VIL393627 VSH393627 WCD393627 WLZ393627 WVV393627 N459163 JJ459163 TF459163 ADB459163 AMX459163 AWT459163 BGP459163 BQL459163 CAH459163 CKD459163 CTZ459163 DDV459163 DNR459163 DXN459163 EHJ459163 ERF459163 FBB459163 FKX459163 FUT459163 GEP459163 GOL459163 GYH459163 HID459163 HRZ459163 IBV459163 ILR459163 IVN459163 JFJ459163 JPF459163 JZB459163 KIX459163 KST459163 LCP459163 LML459163 LWH459163 MGD459163 MPZ459163 MZV459163 NJR459163 NTN459163 ODJ459163 ONF459163 OXB459163 PGX459163 PQT459163 QAP459163 QKL459163 QUH459163 RED459163 RNZ459163 RXV459163 SHR459163 SRN459163 TBJ459163 TLF459163 TVB459163 UEX459163 UOT459163 UYP459163 VIL459163 VSH459163 WCD459163 WLZ459163 WVV459163 N524699 JJ524699 TF524699 ADB524699 AMX524699 AWT524699 BGP524699 BQL524699 CAH524699 CKD524699 CTZ524699 DDV524699 DNR524699 DXN524699 EHJ524699 ERF524699 FBB524699 FKX524699 FUT524699 GEP524699 GOL524699 GYH524699 HID524699 HRZ524699 IBV524699 ILR524699 IVN524699 JFJ524699 JPF524699 JZB524699 KIX524699 KST524699 LCP524699 LML524699 LWH524699 MGD524699 MPZ524699 MZV524699 NJR524699 NTN524699 ODJ524699 ONF524699 OXB524699 PGX524699 PQT524699 QAP524699 QKL524699 QUH524699 RED524699 RNZ524699 RXV524699 SHR524699 SRN524699 TBJ524699 TLF524699 TVB524699 UEX524699 UOT524699 UYP524699 VIL524699 VSH524699 WCD524699 WLZ524699 WVV524699 N590235 JJ590235 TF590235 ADB590235 AMX590235 AWT590235 BGP590235 BQL590235 CAH590235 CKD590235 CTZ590235 DDV590235 DNR590235 DXN590235 EHJ590235 ERF590235 FBB590235 FKX590235 FUT590235 GEP590235 GOL590235 GYH590235 HID590235 HRZ590235 IBV590235 ILR590235 IVN590235 JFJ590235 JPF590235 JZB590235 KIX590235 KST590235 LCP590235 LML590235 LWH590235 MGD590235 MPZ590235 MZV590235 NJR590235 NTN590235 ODJ590235 ONF590235 OXB590235 PGX590235 PQT590235 QAP590235 QKL590235 QUH590235 RED590235 RNZ590235 RXV590235 SHR590235 SRN590235 TBJ590235 TLF590235 TVB590235 UEX590235 UOT590235 UYP590235 VIL590235 VSH590235 WCD590235 WLZ590235 WVV590235 N655771 JJ655771 TF655771 ADB655771 AMX655771 AWT655771 BGP655771 BQL655771 CAH655771 CKD655771 CTZ655771 DDV655771 DNR655771 DXN655771 EHJ655771 ERF655771 FBB655771 FKX655771 FUT655771 GEP655771 GOL655771 GYH655771 HID655771 HRZ655771 IBV655771 ILR655771 IVN655771 JFJ655771 JPF655771 JZB655771 KIX655771 KST655771 LCP655771 LML655771 LWH655771 MGD655771 MPZ655771 MZV655771 NJR655771 NTN655771 ODJ655771 ONF655771 OXB655771 PGX655771 PQT655771 QAP655771 QKL655771 QUH655771 RED655771 RNZ655771 RXV655771 SHR655771 SRN655771 TBJ655771 TLF655771 TVB655771 UEX655771 UOT655771 UYP655771 VIL655771 VSH655771 WCD655771 WLZ655771 WVV655771 N721307 JJ721307 TF721307 ADB721307 AMX721307 AWT721307 BGP721307 BQL721307 CAH721307 CKD721307 CTZ721307 DDV721307 DNR721307 DXN721307 EHJ721307 ERF721307 FBB721307 FKX721307 FUT721307 GEP721307 GOL721307 GYH721307 HID721307 HRZ721307 IBV721307 ILR721307 IVN721307 JFJ721307 JPF721307 JZB721307 KIX721307 KST721307 LCP721307 LML721307 LWH721307 MGD721307 MPZ721307 MZV721307 NJR721307 NTN721307 ODJ721307 ONF721307 OXB721307 PGX721307 PQT721307 QAP721307 QKL721307 QUH721307 RED721307 RNZ721307 RXV721307 SHR721307 SRN721307 TBJ721307 TLF721307 TVB721307 UEX721307 UOT721307 UYP721307 VIL721307 VSH721307 WCD721307 WLZ721307 WVV721307 N786843 JJ786843 TF786843 ADB786843 AMX786843 AWT786843 BGP786843 BQL786843 CAH786843 CKD786843 CTZ786843 DDV786843 DNR786843 DXN786843 EHJ786843 ERF786843 FBB786843 FKX786843 FUT786843 GEP786843 GOL786843 GYH786843 HID786843 HRZ786843 IBV786843 ILR786843 IVN786843 JFJ786843 JPF786843 JZB786843 KIX786843 KST786843 LCP786843 LML786843 LWH786843 MGD786843 MPZ786843 MZV786843 NJR786843 NTN786843 ODJ786843 ONF786843 OXB786843 PGX786843 PQT786843 QAP786843 QKL786843 QUH786843 RED786843 RNZ786843 RXV786843 SHR786843 SRN786843 TBJ786843 TLF786843 TVB786843 UEX786843 UOT786843 UYP786843 VIL786843 VSH786843 WCD786843 WLZ786843 WVV786843 N852379 JJ852379 TF852379 ADB852379 AMX852379 AWT852379 BGP852379 BQL852379 CAH852379 CKD852379 CTZ852379 DDV852379 DNR852379 DXN852379 EHJ852379 ERF852379 FBB852379 FKX852379 FUT852379 GEP852379 GOL852379 GYH852379 HID852379 HRZ852379 IBV852379 ILR852379 IVN852379 JFJ852379 JPF852379 JZB852379 KIX852379 KST852379 LCP852379 LML852379 LWH852379 MGD852379 MPZ852379 MZV852379 NJR852379 NTN852379 ODJ852379 ONF852379 OXB852379 PGX852379 PQT852379 QAP852379 QKL852379 QUH852379 RED852379 RNZ852379 RXV852379 SHR852379 SRN852379 TBJ852379 TLF852379 TVB852379 UEX852379 UOT852379 UYP852379 VIL852379 VSH852379 WCD852379 WLZ852379 WVV852379 N917915 JJ917915 TF917915 ADB917915 AMX917915 AWT917915 BGP917915 BQL917915 CAH917915 CKD917915 CTZ917915 DDV917915 DNR917915 DXN917915 EHJ917915 ERF917915 FBB917915 FKX917915 FUT917915 GEP917915 GOL917915 GYH917915 HID917915 HRZ917915 IBV917915 ILR917915 IVN917915 JFJ917915 JPF917915 JZB917915 KIX917915 KST917915 LCP917915 LML917915 LWH917915 MGD917915 MPZ917915 MZV917915 NJR917915 NTN917915 ODJ917915 ONF917915 OXB917915 PGX917915 PQT917915 QAP917915 QKL917915 QUH917915 RED917915 RNZ917915 RXV917915 SHR917915 SRN917915 TBJ917915 TLF917915 TVB917915 UEX917915 UOT917915 UYP917915 VIL917915 VSH917915 WCD917915 WLZ917915 WVV917915 N983451 JJ983451 TF983451 ADB983451 AMX983451 AWT983451 BGP983451 BQL983451 CAH983451 CKD983451 CTZ983451 DDV983451 DNR983451 DXN983451 EHJ983451 ERF983451 FBB983451 FKX983451 FUT983451 GEP983451 GOL983451 GYH983451 HID983451 HRZ983451 IBV983451 ILR983451 IVN983451 JFJ983451 JPF983451 JZB983451 KIX983451 KST983451 LCP983451 LML983451 LWH983451 MGD983451 MPZ983451 MZV983451 NJR983451 NTN983451 ODJ983451 ONF983451 OXB983451 PGX983451 PQT983451 QAP983451 QKL983451 QUH983451 RED983451 RNZ983451 RXV983451 SHR983451 SRN983451 TBJ983451 TLF983451 TVB983451 UEX983451 UOT983451 UYP983451 VIL983451 VSH983451 WCD983451 WLZ983451 WVV983451 N413 JJ413 TF413 ADB413 AMX413 AWT413 BGP413 BQL413 CAH413 CKD413 CTZ413 DDV413 DNR413 DXN413 EHJ413 ERF413 FBB413 FKX413 FUT413 GEP413 GOL413 GYH413 HID413 HRZ413 IBV413 ILR413 IVN413 JFJ413 JPF413 JZB413 KIX413 KST413 LCP413 LML413 LWH413 MGD413 MPZ413 MZV413 NJR413 NTN413 ODJ413 ONF413 OXB413 PGX413 PQT413 QAP413 QKL413 QUH413 RED413 RNZ413 RXV413 SHR413 SRN413 TBJ413 TLF413 TVB413 UEX413 UOT413 UYP413 VIL413 VSH413 WCD413 WLZ413 WVV413 N65949 JJ65949 TF65949 ADB65949 AMX65949 AWT65949 BGP65949 BQL65949 CAH65949 CKD65949 CTZ65949 DDV65949 DNR65949 DXN65949 EHJ65949 ERF65949 FBB65949 FKX65949 FUT65949 GEP65949 GOL65949 GYH65949 HID65949 HRZ65949 IBV65949 ILR65949 IVN65949 JFJ65949 JPF65949 JZB65949 KIX65949 KST65949 LCP65949 LML65949 LWH65949 MGD65949 MPZ65949 MZV65949 NJR65949 NTN65949 ODJ65949 ONF65949 OXB65949 PGX65949 PQT65949 QAP65949 QKL65949 QUH65949 RED65949 RNZ65949 RXV65949 SHR65949 SRN65949 TBJ65949 TLF65949 TVB65949 UEX65949 UOT65949 UYP65949 VIL65949 VSH65949 WCD65949 WLZ65949 WVV65949 N131485 JJ131485 TF131485 ADB131485 AMX131485 AWT131485 BGP131485 BQL131485 CAH131485 CKD131485 CTZ131485 DDV131485 DNR131485 DXN131485 EHJ131485 ERF131485 FBB131485 FKX131485 FUT131485 GEP131485 GOL131485 GYH131485 HID131485 HRZ131485 IBV131485 ILR131485 IVN131485 JFJ131485 JPF131485 JZB131485 KIX131485 KST131485 LCP131485 LML131485 LWH131485 MGD131485 MPZ131485 MZV131485 NJR131485 NTN131485 ODJ131485 ONF131485 OXB131485 PGX131485 PQT131485 QAP131485 QKL131485 QUH131485 RED131485 RNZ131485 RXV131485 SHR131485 SRN131485 TBJ131485 TLF131485 TVB131485 UEX131485 UOT131485 UYP131485 VIL131485 VSH131485 WCD131485 WLZ131485 WVV131485 N197021 JJ197021 TF197021 ADB197021 AMX197021 AWT197021 BGP197021 BQL197021 CAH197021 CKD197021 CTZ197021 DDV197021 DNR197021 DXN197021 EHJ197021 ERF197021 FBB197021 FKX197021 FUT197021 GEP197021 GOL197021 GYH197021 HID197021 HRZ197021 IBV197021 ILR197021 IVN197021 JFJ197021 JPF197021 JZB197021 KIX197021 KST197021 LCP197021 LML197021 LWH197021 MGD197021 MPZ197021 MZV197021 NJR197021 NTN197021 ODJ197021 ONF197021 OXB197021 PGX197021 PQT197021 QAP197021 QKL197021 QUH197021 RED197021 RNZ197021 RXV197021 SHR197021 SRN197021 TBJ197021 TLF197021 TVB197021 UEX197021 UOT197021 UYP197021 VIL197021 VSH197021 WCD197021 WLZ197021 WVV197021 N262557 JJ262557 TF262557 ADB262557 AMX262557 AWT262557 BGP262557 BQL262557 CAH262557 CKD262557 CTZ262557 DDV262557 DNR262557 DXN262557 EHJ262557 ERF262557 FBB262557 FKX262557 FUT262557 GEP262557 GOL262557 GYH262557 HID262557 HRZ262557 IBV262557 ILR262557 IVN262557 JFJ262557 JPF262557 JZB262557 KIX262557 KST262557 LCP262557 LML262557 LWH262557 MGD262557 MPZ262557 MZV262557 NJR262557 NTN262557 ODJ262557 ONF262557 OXB262557 PGX262557 PQT262557 QAP262557 QKL262557 QUH262557 RED262557 RNZ262557 RXV262557 SHR262557 SRN262557 TBJ262557 TLF262557 TVB262557 UEX262557 UOT262557 UYP262557 VIL262557 VSH262557 WCD262557 WLZ262557 WVV262557 N328093 JJ328093 TF328093 ADB328093 AMX328093 AWT328093 BGP328093 BQL328093 CAH328093 CKD328093 CTZ328093 DDV328093 DNR328093 DXN328093 EHJ328093 ERF328093 FBB328093 FKX328093 FUT328093 GEP328093 GOL328093 GYH328093 HID328093 HRZ328093 IBV328093 ILR328093 IVN328093 JFJ328093 JPF328093 JZB328093 KIX328093 KST328093 LCP328093 LML328093 LWH328093 MGD328093 MPZ328093 MZV328093 NJR328093 NTN328093 ODJ328093 ONF328093 OXB328093 PGX328093 PQT328093 QAP328093 QKL328093 QUH328093 RED328093 RNZ328093 RXV328093 SHR328093 SRN328093 TBJ328093 TLF328093 TVB328093 UEX328093 UOT328093 UYP328093 VIL328093 VSH328093 WCD328093 WLZ328093 WVV328093 N393629 JJ393629 TF393629 ADB393629 AMX393629 AWT393629 BGP393629 BQL393629 CAH393629 CKD393629 CTZ393629 DDV393629 DNR393629 DXN393629 EHJ393629 ERF393629 FBB393629 FKX393629 FUT393629 GEP393629 GOL393629 GYH393629 HID393629 HRZ393629 IBV393629 ILR393629 IVN393629 JFJ393629 JPF393629 JZB393629 KIX393629 KST393629 LCP393629 LML393629 LWH393629 MGD393629 MPZ393629 MZV393629 NJR393629 NTN393629 ODJ393629 ONF393629 OXB393629 PGX393629 PQT393629 QAP393629 QKL393629 QUH393629 RED393629 RNZ393629 RXV393629 SHR393629 SRN393629 TBJ393629 TLF393629 TVB393629 UEX393629 UOT393629 UYP393629 VIL393629 VSH393629 WCD393629 WLZ393629 WVV393629 N459165 JJ459165 TF459165 ADB459165 AMX459165 AWT459165 BGP459165 BQL459165 CAH459165 CKD459165 CTZ459165 DDV459165 DNR459165 DXN459165 EHJ459165 ERF459165 FBB459165 FKX459165 FUT459165 GEP459165 GOL459165 GYH459165 HID459165 HRZ459165 IBV459165 ILR459165 IVN459165 JFJ459165 JPF459165 JZB459165 KIX459165 KST459165 LCP459165 LML459165 LWH459165 MGD459165 MPZ459165 MZV459165 NJR459165 NTN459165 ODJ459165 ONF459165 OXB459165 PGX459165 PQT459165 QAP459165 QKL459165 QUH459165 RED459165 RNZ459165 RXV459165 SHR459165 SRN459165 TBJ459165 TLF459165 TVB459165 UEX459165 UOT459165 UYP459165 VIL459165 VSH459165 WCD459165 WLZ459165 WVV459165 N524701 JJ524701 TF524701 ADB524701 AMX524701 AWT524701 BGP524701 BQL524701 CAH524701 CKD524701 CTZ524701 DDV524701 DNR524701 DXN524701 EHJ524701 ERF524701 FBB524701 FKX524701 FUT524701 GEP524701 GOL524701 GYH524701 HID524701 HRZ524701 IBV524701 ILR524701 IVN524701 JFJ524701 JPF524701 JZB524701 KIX524701 KST524701 LCP524701 LML524701 LWH524701 MGD524701 MPZ524701 MZV524701 NJR524701 NTN524701 ODJ524701 ONF524701 OXB524701 PGX524701 PQT524701 QAP524701 QKL524701 QUH524701 RED524701 RNZ524701 RXV524701 SHR524701 SRN524701 TBJ524701 TLF524701 TVB524701 UEX524701 UOT524701 UYP524701 VIL524701 VSH524701 WCD524701 WLZ524701 WVV524701 N590237 JJ590237 TF590237 ADB590237 AMX590237 AWT590237 BGP590237 BQL590237 CAH590237 CKD590237 CTZ590237 DDV590237 DNR590237 DXN590237 EHJ590237 ERF590237 FBB590237 FKX590237 FUT590237 GEP590237 GOL590237 GYH590237 HID590237 HRZ590237 IBV590237 ILR590237 IVN590237 JFJ590237 JPF590237 JZB590237 KIX590237 KST590237 LCP590237 LML590237 LWH590237 MGD590237 MPZ590237 MZV590237 NJR590237 NTN590237 ODJ590237 ONF590237 OXB590237 PGX590237 PQT590237 QAP590237 QKL590237 QUH590237 RED590237 RNZ590237 RXV590237 SHR590237 SRN590237 TBJ590237 TLF590237 TVB590237 UEX590237 UOT590237 UYP590237 VIL590237 VSH590237 WCD590237 WLZ590237 WVV590237 N655773 JJ655773 TF655773 ADB655773 AMX655773 AWT655773 BGP655773 BQL655773 CAH655773 CKD655773 CTZ655773 DDV655773 DNR655773 DXN655773 EHJ655773 ERF655773 FBB655773 FKX655773 FUT655773 GEP655773 GOL655773 GYH655773 HID655773 HRZ655773 IBV655773 ILR655773 IVN655773 JFJ655773 JPF655773 JZB655773 KIX655773 KST655773 LCP655773 LML655773 LWH655773 MGD655773 MPZ655773 MZV655773 NJR655773 NTN655773 ODJ655773 ONF655773 OXB655773 PGX655773 PQT655773 QAP655773 QKL655773 QUH655773 RED655773 RNZ655773 RXV655773 SHR655773 SRN655773 TBJ655773 TLF655773 TVB655773 UEX655773 UOT655773 UYP655773 VIL655773 VSH655773 WCD655773 WLZ655773 WVV655773 N721309 JJ721309 TF721309 ADB721309 AMX721309 AWT721309 BGP721309 BQL721309 CAH721309 CKD721309 CTZ721309 DDV721309 DNR721309 DXN721309 EHJ721309 ERF721309 FBB721309 FKX721309 FUT721309 GEP721309 GOL721309 GYH721309 HID721309 HRZ721309 IBV721309 ILR721309 IVN721309 JFJ721309 JPF721309 JZB721309 KIX721309 KST721309 LCP721309 LML721309 LWH721309 MGD721309 MPZ721309 MZV721309 NJR721309 NTN721309 ODJ721309 ONF721309 OXB721309 PGX721309 PQT721309 QAP721309 QKL721309 QUH721309 RED721309 RNZ721309 RXV721309 SHR721309 SRN721309 TBJ721309 TLF721309 TVB721309 UEX721309 UOT721309 UYP721309 VIL721309 VSH721309 WCD721309 WLZ721309 WVV721309 N786845 JJ786845 TF786845 ADB786845 AMX786845 AWT786845 BGP786845 BQL786845 CAH786845 CKD786845 CTZ786845 DDV786845 DNR786845 DXN786845 EHJ786845 ERF786845 FBB786845 FKX786845 FUT786845 GEP786845 GOL786845 GYH786845 HID786845 HRZ786845 IBV786845 ILR786845 IVN786845 JFJ786845 JPF786845 JZB786845 KIX786845 KST786845 LCP786845 LML786845 LWH786845 MGD786845 MPZ786845 MZV786845 NJR786845 NTN786845 ODJ786845 ONF786845 OXB786845 PGX786845 PQT786845 QAP786845 QKL786845 QUH786845 RED786845 RNZ786845 RXV786845 SHR786845 SRN786845 TBJ786845 TLF786845 TVB786845 UEX786845 UOT786845 UYP786845 VIL786845 VSH786845 WCD786845 WLZ786845 WVV786845 N852381 JJ852381 TF852381 ADB852381 AMX852381 AWT852381 BGP852381 BQL852381 CAH852381 CKD852381 CTZ852381 DDV852381 DNR852381 DXN852381 EHJ852381 ERF852381 FBB852381 FKX852381 FUT852381 GEP852381 GOL852381 GYH852381 HID852381 HRZ852381 IBV852381 ILR852381 IVN852381 JFJ852381 JPF852381 JZB852381 KIX852381 KST852381 LCP852381 LML852381 LWH852381 MGD852381 MPZ852381 MZV852381 NJR852381 NTN852381 ODJ852381 ONF852381 OXB852381 PGX852381 PQT852381 QAP852381 QKL852381 QUH852381 RED852381 RNZ852381 RXV852381 SHR852381 SRN852381 TBJ852381 TLF852381 TVB852381 UEX852381 UOT852381 UYP852381 VIL852381 VSH852381 WCD852381 WLZ852381 WVV852381 N917917 JJ917917 TF917917 ADB917917 AMX917917 AWT917917 BGP917917 BQL917917 CAH917917 CKD917917 CTZ917917 DDV917917 DNR917917 DXN917917 EHJ917917 ERF917917 FBB917917 FKX917917 FUT917917 GEP917917 GOL917917 GYH917917 HID917917 HRZ917917 IBV917917 ILR917917 IVN917917 JFJ917917 JPF917917 JZB917917 KIX917917 KST917917 LCP917917 LML917917 LWH917917 MGD917917 MPZ917917 MZV917917 NJR917917 NTN917917 ODJ917917 ONF917917 OXB917917 PGX917917 PQT917917 QAP917917 QKL917917 QUH917917 RED917917 RNZ917917 RXV917917 SHR917917 SRN917917 TBJ917917 TLF917917 TVB917917 UEX917917 UOT917917 UYP917917 VIL917917 VSH917917 WCD917917 WLZ917917 WVV917917 N983453 JJ983453 TF983453 ADB983453 AMX983453 AWT983453 BGP983453 BQL983453 CAH983453 CKD983453 CTZ983453 DDV983453 DNR983453 DXN983453 EHJ983453 ERF983453 FBB983453 FKX983453 FUT983453 GEP983453 GOL983453 GYH983453 HID983453 HRZ983453 IBV983453 ILR983453 IVN983453 JFJ983453 JPF983453 JZB983453 KIX983453 KST983453 LCP983453 LML983453 LWH983453 MGD983453 MPZ983453 MZV983453 NJR983453 NTN983453 ODJ983453 ONF983453 OXB983453 PGX983453 PQT983453 QAP983453 QKL983453 QUH983453 RED983453 RNZ983453 RXV983453 SHR983453 SRN983453 TBJ983453 TLF983453 TVB983453 UEX983453 UOT983453 UYP983453 VIL983453 VSH983453 WCD983453 WLZ983453 WVV983453 N417 JJ417 TF417 ADB417 AMX417 AWT417 BGP417 BQL417 CAH417 CKD417 CTZ417 DDV417 DNR417 DXN417 EHJ417 ERF417 FBB417 FKX417 FUT417 GEP417 GOL417 GYH417 HID417 HRZ417 IBV417 ILR417 IVN417 JFJ417 JPF417 JZB417 KIX417 KST417 LCP417 LML417 LWH417 MGD417 MPZ417 MZV417 NJR417 NTN417 ODJ417 ONF417 OXB417 PGX417 PQT417 QAP417 QKL417 QUH417 RED417 RNZ417 RXV417 SHR417 SRN417 TBJ417 TLF417 TVB417 UEX417 UOT417 UYP417 VIL417 VSH417 WCD417 WLZ417 WVV417 N65953 JJ65953 TF65953 ADB65953 AMX65953 AWT65953 BGP65953 BQL65953 CAH65953 CKD65953 CTZ65953 DDV65953 DNR65953 DXN65953 EHJ65953 ERF65953 FBB65953 FKX65953 FUT65953 GEP65953 GOL65953 GYH65953 HID65953 HRZ65953 IBV65953 ILR65953 IVN65953 JFJ65953 JPF65953 JZB65953 KIX65953 KST65953 LCP65953 LML65953 LWH65953 MGD65953 MPZ65953 MZV65953 NJR65953 NTN65953 ODJ65953 ONF65953 OXB65953 PGX65953 PQT65953 QAP65953 QKL65953 QUH65953 RED65953 RNZ65953 RXV65953 SHR65953 SRN65953 TBJ65953 TLF65953 TVB65953 UEX65953 UOT65953 UYP65953 VIL65953 VSH65953 WCD65953 WLZ65953 WVV65953 N131489 JJ131489 TF131489 ADB131489 AMX131489 AWT131489 BGP131489 BQL131489 CAH131489 CKD131489 CTZ131489 DDV131489 DNR131489 DXN131489 EHJ131489 ERF131489 FBB131489 FKX131489 FUT131489 GEP131489 GOL131489 GYH131489 HID131489 HRZ131489 IBV131489 ILR131489 IVN131489 JFJ131489 JPF131489 JZB131489 KIX131489 KST131489 LCP131489 LML131489 LWH131489 MGD131489 MPZ131489 MZV131489 NJR131489 NTN131489 ODJ131489 ONF131489 OXB131489 PGX131489 PQT131489 QAP131489 QKL131489 QUH131489 RED131489 RNZ131489 RXV131489 SHR131489 SRN131489 TBJ131489 TLF131489 TVB131489 UEX131489 UOT131489 UYP131489 VIL131489 VSH131489 WCD131489 WLZ131489 WVV131489 N197025 JJ197025 TF197025 ADB197025 AMX197025 AWT197025 BGP197025 BQL197025 CAH197025 CKD197025 CTZ197025 DDV197025 DNR197025 DXN197025 EHJ197025 ERF197025 FBB197025 FKX197025 FUT197025 GEP197025 GOL197025 GYH197025 HID197025 HRZ197025 IBV197025 ILR197025 IVN197025 JFJ197025 JPF197025 JZB197025 KIX197025 KST197025 LCP197025 LML197025 LWH197025 MGD197025 MPZ197025 MZV197025 NJR197025 NTN197025 ODJ197025 ONF197025 OXB197025 PGX197025 PQT197025 QAP197025 QKL197025 QUH197025 RED197025 RNZ197025 RXV197025 SHR197025 SRN197025 TBJ197025 TLF197025 TVB197025 UEX197025 UOT197025 UYP197025 VIL197025 VSH197025 WCD197025 WLZ197025 WVV197025 N262561 JJ262561 TF262561 ADB262561 AMX262561 AWT262561 BGP262561 BQL262561 CAH262561 CKD262561 CTZ262561 DDV262561 DNR262561 DXN262561 EHJ262561 ERF262561 FBB262561 FKX262561 FUT262561 GEP262561 GOL262561 GYH262561 HID262561 HRZ262561 IBV262561 ILR262561 IVN262561 JFJ262561 JPF262561 JZB262561 KIX262561 KST262561 LCP262561 LML262561 LWH262561 MGD262561 MPZ262561 MZV262561 NJR262561 NTN262561 ODJ262561 ONF262561 OXB262561 PGX262561 PQT262561 QAP262561 QKL262561 QUH262561 RED262561 RNZ262561 RXV262561 SHR262561 SRN262561 TBJ262561 TLF262561 TVB262561 UEX262561 UOT262561 UYP262561 VIL262561 VSH262561 WCD262561 WLZ262561 WVV262561 N328097 JJ328097 TF328097 ADB328097 AMX328097 AWT328097 BGP328097 BQL328097 CAH328097 CKD328097 CTZ328097 DDV328097 DNR328097 DXN328097 EHJ328097 ERF328097 FBB328097 FKX328097 FUT328097 GEP328097 GOL328097 GYH328097 HID328097 HRZ328097 IBV328097 ILR328097 IVN328097 JFJ328097 JPF328097 JZB328097 KIX328097 KST328097 LCP328097 LML328097 LWH328097 MGD328097 MPZ328097 MZV328097 NJR328097 NTN328097 ODJ328097 ONF328097 OXB328097 PGX328097 PQT328097 QAP328097 QKL328097 QUH328097 RED328097 RNZ328097 RXV328097 SHR328097 SRN328097 TBJ328097 TLF328097 TVB328097 UEX328097 UOT328097 UYP328097 VIL328097 VSH328097 WCD328097 WLZ328097 WVV328097 N393633 JJ393633 TF393633 ADB393633 AMX393633 AWT393633 BGP393633 BQL393633 CAH393633 CKD393633 CTZ393633 DDV393633 DNR393633 DXN393633 EHJ393633 ERF393633 FBB393633 FKX393633 FUT393633 GEP393633 GOL393633 GYH393633 HID393633 HRZ393633 IBV393633 ILR393633 IVN393633 JFJ393633 JPF393633 JZB393633 KIX393633 KST393633 LCP393633 LML393633 LWH393633 MGD393633 MPZ393633 MZV393633 NJR393633 NTN393633 ODJ393633 ONF393633 OXB393633 PGX393633 PQT393633 QAP393633 QKL393633 QUH393633 RED393633 RNZ393633 RXV393633 SHR393633 SRN393633 TBJ393633 TLF393633 TVB393633 UEX393633 UOT393633 UYP393633 VIL393633 VSH393633 WCD393633 WLZ393633 WVV393633 N459169 JJ459169 TF459169 ADB459169 AMX459169 AWT459169 BGP459169 BQL459169 CAH459169 CKD459169 CTZ459169 DDV459169 DNR459169 DXN459169 EHJ459169 ERF459169 FBB459169 FKX459169 FUT459169 GEP459169 GOL459169 GYH459169 HID459169 HRZ459169 IBV459169 ILR459169 IVN459169 JFJ459169 JPF459169 JZB459169 KIX459169 KST459169 LCP459169 LML459169 LWH459169 MGD459169 MPZ459169 MZV459169 NJR459169 NTN459169 ODJ459169 ONF459169 OXB459169 PGX459169 PQT459169 QAP459169 QKL459169 QUH459169 RED459169 RNZ459169 RXV459169 SHR459169 SRN459169 TBJ459169 TLF459169 TVB459169 UEX459169 UOT459169 UYP459169 VIL459169 VSH459169 WCD459169 WLZ459169 WVV459169 N524705 JJ524705 TF524705 ADB524705 AMX524705 AWT524705 BGP524705 BQL524705 CAH524705 CKD524705 CTZ524705 DDV524705 DNR524705 DXN524705 EHJ524705 ERF524705 FBB524705 FKX524705 FUT524705 GEP524705 GOL524705 GYH524705 HID524705 HRZ524705 IBV524705 ILR524705 IVN524705 JFJ524705 JPF524705 JZB524705 KIX524705 KST524705 LCP524705 LML524705 LWH524705 MGD524705 MPZ524705 MZV524705 NJR524705 NTN524705 ODJ524705 ONF524705 OXB524705 PGX524705 PQT524705 QAP524705 QKL524705 QUH524705 RED524705 RNZ524705 RXV524705 SHR524705 SRN524705 TBJ524705 TLF524705 TVB524705 UEX524705 UOT524705 UYP524705 VIL524705 VSH524705 WCD524705 WLZ524705 WVV524705 N590241 JJ590241 TF590241 ADB590241 AMX590241 AWT590241 BGP590241 BQL590241 CAH590241 CKD590241 CTZ590241 DDV590241 DNR590241 DXN590241 EHJ590241 ERF590241 FBB590241 FKX590241 FUT590241 GEP590241 GOL590241 GYH590241 HID590241 HRZ590241 IBV590241 ILR590241 IVN590241 JFJ590241 JPF590241 JZB590241 KIX590241 KST590241 LCP590241 LML590241 LWH590241 MGD590241 MPZ590241 MZV590241 NJR590241 NTN590241 ODJ590241 ONF590241 OXB590241 PGX590241 PQT590241 QAP590241 QKL590241 QUH590241 RED590241 RNZ590241 RXV590241 SHR590241 SRN590241 TBJ590241 TLF590241 TVB590241 UEX590241 UOT590241 UYP590241 VIL590241 VSH590241 WCD590241 WLZ590241 WVV590241 N655777 JJ655777 TF655777 ADB655777 AMX655777 AWT655777 BGP655777 BQL655777 CAH655777 CKD655777 CTZ655777 DDV655777 DNR655777 DXN655777 EHJ655777 ERF655777 FBB655777 FKX655777 FUT655777 GEP655777 GOL655777 GYH655777 HID655777 HRZ655777 IBV655777 ILR655777 IVN655777 JFJ655777 JPF655777 JZB655777 KIX655777 KST655777 LCP655777 LML655777 LWH655777 MGD655777 MPZ655777 MZV655777 NJR655777 NTN655777 ODJ655777 ONF655777 OXB655777 PGX655777 PQT655777 QAP655777 QKL655777 QUH655777 RED655777 RNZ655777 RXV655777 SHR655777 SRN655777 TBJ655777 TLF655777 TVB655777 UEX655777 UOT655777 UYP655777 VIL655777 VSH655777 WCD655777 WLZ655777 WVV655777 N721313 JJ721313 TF721313 ADB721313 AMX721313 AWT721313 BGP721313 BQL721313 CAH721313 CKD721313 CTZ721313 DDV721313 DNR721313 DXN721313 EHJ721313 ERF721313 FBB721313 FKX721313 FUT721313 GEP721313 GOL721313 GYH721313 HID721313 HRZ721313 IBV721313 ILR721313 IVN721313 JFJ721313 JPF721313 JZB721313 KIX721313 KST721313 LCP721313 LML721313 LWH721313 MGD721313 MPZ721313 MZV721313 NJR721313 NTN721313 ODJ721313 ONF721313 OXB721313 PGX721313 PQT721313 QAP721313 QKL721313 QUH721313 RED721313 RNZ721313 RXV721313 SHR721313 SRN721313 TBJ721313 TLF721313 TVB721313 UEX721313 UOT721313 UYP721313 VIL721313 VSH721313 WCD721313 WLZ721313 WVV721313 N786849 JJ786849 TF786849 ADB786849 AMX786849 AWT786849 BGP786849 BQL786849 CAH786849 CKD786849 CTZ786849 DDV786849 DNR786849 DXN786849 EHJ786849 ERF786849 FBB786849 FKX786849 FUT786849 GEP786849 GOL786849 GYH786849 HID786849 HRZ786849 IBV786849 ILR786849 IVN786849 JFJ786849 JPF786849 JZB786849 KIX786849 KST786849 LCP786849 LML786849 LWH786849 MGD786849 MPZ786849 MZV786849 NJR786849 NTN786849 ODJ786849 ONF786849 OXB786849 PGX786849 PQT786849 QAP786849 QKL786849 QUH786849 RED786849 RNZ786849 RXV786849 SHR786849 SRN786849 TBJ786849 TLF786849 TVB786849 UEX786849 UOT786849 UYP786849 VIL786849 VSH786849 WCD786849 WLZ786849 WVV786849 N852385 JJ852385 TF852385 ADB852385 AMX852385 AWT852385 BGP852385 BQL852385 CAH852385 CKD852385 CTZ852385 DDV852385 DNR852385 DXN852385 EHJ852385 ERF852385 FBB852385 FKX852385 FUT852385 GEP852385 GOL852385 GYH852385 HID852385 HRZ852385 IBV852385 ILR852385 IVN852385 JFJ852385 JPF852385 JZB852385 KIX852385 KST852385 LCP852385 LML852385 LWH852385 MGD852385 MPZ852385 MZV852385 NJR852385 NTN852385 ODJ852385 ONF852385 OXB852385 PGX852385 PQT852385 QAP852385 QKL852385 QUH852385 RED852385 RNZ852385 RXV852385 SHR852385 SRN852385 TBJ852385 TLF852385 TVB852385 UEX852385 UOT852385 UYP852385 VIL852385 VSH852385 WCD852385 WLZ852385 WVV852385 N917921 JJ917921 TF917921 ADB917921 AMX917921 AWT917921 BGP917921 BQL917921 CAH917921 CKD917921 CTZ917921 DDV917921 DNR917921 DXN917921 EHJ917921 ERF917921 FBB917921 FKX917921 FUT917921 GEP917921 GOL917921 GYH917921 HID917921 HRZ917921 IBV917921 ILR917921 IVN917921 JFJ917921 JPF917921 JZB917921 KIX917921 KST917921 LCP917921 LML917921 LWH917921 MGD917921 MPZ917921 MZV917921 NJR917921 NTN917921 ODJ917921 ONF917921 OXB917921 PGX917921 PQT917921 QAP917921 QKL917921 QUH917921 RED917921 RNZ917921 RXV917921 SHR917921 SRN917921 TBJ917921 TLF917921 TVB917921 UEX917921 UOT917921 UYP917921 VIL917921 VSH917921 WCD917921 WLZ917921 WVV917921 N983457 JJ983457 TF983457 ADB983457 AMX983457 AWT983457 BGP983457 BQL983457 CAH983457 CKD983457 CTZ983457 DDV983457 DNR983457 DXN983457 EHJ983457 ERF983457 FBB983457 FKX983457 FUT983457 GEP983457 GOL983457 GYH983457 HID983457 HRZ983457 IBV983457 ILR983457 IVN983457 JFJ983457 JPF983457 JZB983457 KIX983457 KST983457 LCP983457 LML983457 LWH983457 MGD983457 MPZ983457 MZV983457 NJR983457 NTN983457 ODJ983457 ONF983457 OXB983457 PGX983457 PQT983457 QAP983457 QKL983457 QUH983457 RED983457 RNZ983457 RXV983457 SHR983457 SRN983457 TBJ983457 TLF983457 TVB983457 UEX983457 UOT983457 UYP983457 VIL983457 VSH983457 WCD983457 WLZ983457 WVV983457 N415 JJ415 TF415 ADB415 AMX415 AWT415 BGP415 BQL415 CAH415 CKD415 CTZ415 DDV415 DNR415 DXN415 EHJ415 ERF415 FBB415 FKX415 FUT415 GEP415 GOL415 GYH415 HID415 HRZ415 IBV415 ILR415 IVN415 JFJ415 JPF415 JZB415 KIX415 KST415 LCP415 LML415 LWH415 MGD415 MPZ415 MZV415 NJR415 NTN415 ODJ415 ONF415 OXB415 PGX415 PQT415 QAP415 QKL415 QUH415 RED415 RNZ415 RXV415 SHR415 SRN415 TBJ415 TLF415 TVB415 UEX415 UOT415 UYP415 VIL415 VSH415 WCD415 WLZ415 WVV415 N65951 JJ65951 TF65951 ADB65951 AMX65951 AWT65951 BGP65951 BQL65951 CAH65951 CKD65951 CTZ65951 DDV65951 DNR65951 DXN65951 EHJ65951 ERF65951 FBB65951 FKX65951 FUT65951 GEP65951 GOL65951 GYH65951 HID65951 HRZ65951 IBV65951 ILR65951 IVN65951 JFJ65951 JPF65951 JZB65951 KIX65951 KST65951 LCP65951 LML65951 LWH65951 MGD65951 MPZ65951 MZV65951 NJR65951 NTN65951 ODJ65951 ONF65951 OXB65951 PGX65951 PQT65951 QAP65951 QKL65951 QUH65951 RED65951 RNZ65951 RXV65951 SHR65951 SRN65951 TBJ65951 TLF65951 TVB65951 UEX65951 UOT65951 UYP65951 VIL65951 VSH65951 WCD65951 WLZ65951 WVV65951 N131487 JJ131487 TF131487 ADB131487 AMX131487 AWT131487 BGP131487 BQL131487 CAH131487 CKD131487 CTZ131487 DDV131487 DNR131487 DXN131487 EHJ131487 ERF131487 FBB131487 FKX131487 FUT131487 GEP131487 GOL131487 GYH131487 HID131487 HRZ131487 IBV131487 ILR131487 IVN131487 JFJ131487 JPF131487 JZB131487 KIX131487 KST131487 LCP131487 LML131487 LWH131487 MGD131487 MPZ131487 MZV131487 NJR131487 NTN131487 ODJ131487 ONF131487 OXB131487 PGX131487 PQT131487 QAP131487 QKL131487 QUH131487 RED131487 RNZ131487 RXV131487 SHR131487 SRN131487 TBJ131487 TLF131487 TVB131487 UEX131487 UOT131487 UYP131487 VIL131487 VSH131487 WCD131487 WLZ131487 WVV131487 N197023 JJ197023 TF197023 ADB197023 AMX197023 AWT197023 BGP197023 BQL197023 CAH197023 CKD197023 CTZ197023 DDV197023 DNR197023 DXN197023 EHJ197023 ERF197023 FBB197023 FKX197023 FUT197023 GEP197023 GOL197023 GYH197023 HID197023 HRZ197023 IBV197023 ILR197023 IVN197023 JFJ197023 JPF197023 JZB197023 KIX197023 KST197023 LCP197023 LML197023 LWH197023 MGD197023 MPZ197023 MZV197023 NJR197023 NTN197023 ODJ197023 ONF197023 OXB197023 PGX197023 PQT197023 QAP197023 QKL197023 QUH197023 RED197023 RNZ197023 RXV197023 SHR197023 SRN197023 TBJ197023 TLF197023 TVB197023 UEX197023 UOT197023 UYP197023 VIL197023 VSH197023 WCD197023 WLZ197023 WVV197023 N262559 JJ262559 TF262559 ADB262559 AMX262559 AWT262559 BGP262559 BQL262559 CAH262559 CKD262559 CTZ262559 DDV262559 DNR262559 DXN262559 EHJ262559 ERF262559 FBB262559 FKX262559 FUT262559 GEP262559 GOL262559 GYH262559 HID262559 HRZ262559 IBV262559 ILR262559 IVN262559 JFJ262559 JPF262559 JZB262559 KIX262559 KST262559 LCP262559 LML262559 LWH262559 MGD262559 MPZ262559 MZV262559 NJR262559 NTN262559 ODJ262559 ONF262559 OXB262559 PGX262559 PQT262559 QAP262559 QKL262559 QUH262559 RED262559 RNZ262559 RXV262559 SHR262559 SRN262559 TBJ262559 TLF262559 TVB262559 UEX262559 UOT262559 UYP262559 VIL262559 VSH262559 WCD262559 WLZ262559 WVV262559 N328095 JJ328095 TF328095 ADB328095 AMX328095 AWT328095 BGP328095 BQL328095 CAH328095 CKD328095 CTZ328095 DDV328095 DNR328095 DXN328095 EHJ328095 ERF328095 FBB328095 FKX328095 FUT328095 GEP328095 GOL328095 GYH328095 HID328095 HRZ328095 IBV328095 ILR328095 IVN328095 JFJ328095 JPF328095 JZB328095 KIX328095 KST328095 LCP328095 LML328095 LWH328095 MGD328095 MPZ328095 MZV328095 NJR328095 NTN328095 ODJ328095 ONF328095 OXB328095 PGX328095 PQT328095 QAP328095 QKL328095 QUH328095 RED328095 RNZ328095 RXV328095 SHR328095 SRN328095 TBJ328095 TLF328095 TVB328095 UEX328095 UOT328095 UYP328095 VIL328095 VSH328095 WCD328095 WLZ328095 WVV328095 N393631 JJ393631 TF393631 ADB393631 AMX393631 AWT393631 BGP393631 BQL393631 CAH393631 CKD393631 CTZ393631 DDV393631 DNR393631 DXN393631 EHJ393631 ERF393631 FBB393631 FKX393631 FUT393631 GEP393631 GOL393631 GYH393631 HID393631 HRZ393631 IBV393631 ILR393631 IVN393631 JFJ393631 JPF393631 JZB393631 KIX393631 KST393631 LCP393631 LML393631 LWH393631 MGD393631 MPZ393631 MZV393631 NJR393631 NTN393631 ODJ393631 ONF393631 OXB393631 PGX393631 PQT393631 QAP393631 QKL393631 QUH393631 RED393631 RNZ393631 RXV393631 SHR393631 SRN393631 TBJ393631 TLF393631 TVB393631 UEX393631 UOT393631 UYP393631 VIL393631 VSH393631 WCD393631 WLZ393631 WVV393631 N459167 JJ459167 TF459167 ADB459167 AMX459167 AWT459167 BGP459167 BQL459167 CAH459167 CKD459167 CTZ459167 DDV459167 DNR459167 DXN459167 EHJ459167 ERF459167 FBB459167 FKX459167 FUT459167 GEP459167 GOL459167 GYH459167 HID459167 HRZ459167 IBV459167 ILR459167 IVN459167 JFJ459167 JPF459167 JZB459167 KIX459167 KST459167 LCP459167 LML459167 LWH459167 MGD459167 MPZ459167 MZV459167 NJR459167 NTN459167 ODJ459167 ONF459167 OXB459167 PGX459167 PQT459167 QAP459167 QKL459167 QUH459167 RED459167 RNZ459167 RXV459167 SHR459167 SRN459167 TBJ459167 TLF459167 TVB459167 UEX459167 UOT459167 UYP459167 VIL459167 VSH459167 WCD459167 WLZ459167 WVV459167 N524703 JJ524703 TF524703 ADB524703 AMX524703 AWT524703 BGP524703 BQL524703 CAH524703 CKD524703 CTZ524703 DDV524703 DNR524703 DXN524703 EHJ524703 ERF524703 FBB524703 FKX524703 FUT524703 GEP524703 GOL524703 GYH524703 HID524703 HRZ524703 IBV524703 ILR524703 IVN524703 JFJ524703 JPF524703 JZB524703 KIX524703 KST524703 LCP524703 LML524703 LWH524703 MGD524703 MPZ524703 MZV524703 NJR524703 NTN524703 ODJ524703 ONF524703 OXB524703 PGX524703 PQT524703 QAP524703 QKL524703 QUH524703 RED524703 RNZ524703 RXV524703 SHR524703 SRN524703 TBJ524703 TLF524703 TVB524703 UEX524703 UOT524703 UYP524703 VIL524703 VSH524703 WCD524703 WLZ524703 WVV524703 N590239 JJ590239 TF590239 ADB590239 AMX590239 AWT590239 BGP590239 BQL590239 CAH590239 CKD590239 CTZ590239 DDV590239 DNR590239 DXN590239 EHJ590239 ERF590239 FBB590239 FKX590239 FUT590239 GEP590239 GOL590239 GYH590239 HID590239 HRZ590239 IBV590239 ILR590239 IVN590239 JFJ590239 JPF590239 JZB590239 KIX590239 KST590239 LCP590239 LML590239 LWH590239 MGD590239 MPZ590239 MZV590239 NJR590239 NTN590239 ODJ590239 ONF590239 OXB590239 PGX590239 PQT590239 QAP590239 QKL590239 QUH590239 RED590239 RNZ590239 RXV590239 SHR590239 SRN590239 TBJ590239 TLF590239 TVB590239 UEX590239 UOT590239 UYP590239 VIL590239 VSH590239 WCD590239 WLZ590239 WVV590239 N655775 JJ655775 TF655775 ADB655775 AMX655775 AWT655775 BGP655775 BQL655775 CAH655775 CKD655775 CTZ655775 DDV655775 DNR655775 DXN655775 EHJ655775 ERF655775 FBB655775 FKX655775 FUT655775 GEP655775 GOL655775 GYH655775 HID655775 HRZ655775 IBV655775 ILR655775 IVN655775 JFJ655775 JPF655775 JZB655775 KIX655775 KST655775 LCP655775 LML655775 LWH655775 MGD655775 MPZ655775 MZV655775 NJR655775 NTN655775 ODJ655775 ONF655775 OXB655775 PGX655775 PQT655775 QAP655775 QKL655775 QUH655775 RED655775 RNZ655775 RXV655775 SHR655775 SRN655775 TBJ655775 TLF655775 TVB655775 UEX655775 UOT655775 UYP655775 VIL655775 VSH655775 WCD655775 WLZ655775 WVV655775 N721311 JJ721311 TF721311 ADB721311 AMX721311 AWT721311 BGP721311 BQL721311 CAH721311 CKD721311 CTZ721311 DDV721311 DNR721311 DXN721311 EHJ721311 ERF721311 FBB721311 FKX721311 FUT721311 GEP721311 GOL721311 GYH721311 HID721311 HRZ721311 IBV721311 ILR721311 IVN721311 JFJ721311 JPF721311 JZB721311 KIX721311 KST721311 LCP721311 LML721311 LWH721311 MGD721311 MPZ721311 MZV721311 NJR721311 NTN721311 ODJ721311 ONF721311 OXB721311 PGX721311 PQT721311 QAP721311 QKL721311 QUH721311 RED721311 RNZ721311 RXV721311 SHR721311 SRN721311 TBJ721311 TLF721311 TVB721311 UEX721311 UOT721311 UYP721311 VIL721311 VSH721311 WCD721311 WLZ721311 WVV721311 N786847 JJ786847 TF786847 ADB786847 AMX786847 AWT786847 BGP786847 BQL786847 CAH786847 CKD786847 CTZ786847 DDV786847 DNR786847 DXN786847 EHJ786847 ERF786847 FBB786847 FKX786847 FUT786847 GEP786847 GOL786847 GYH786847 HID786847 HRZ786847 IBV786847 ILR786847 IVN786847 JFJ786847 JPF786847 JZB786847 KIX786847 KST786847 LCP786847 LML786847 LWH786847 MGD786847 MPZ786847 MZV786847 NJR786847 NTN786847 ODJ786847 ONF786847 OXB786847 PGX786847 PQT786847 QAP786847 QKL786847 QUH786847 RED786847 RNZ786847 RXV786847 SHR786847 SRN786847 TBJ786847 TLF786847 TVB786847 UEX786847 UOT786847 UYP786847 VIL786847 VSH786847 WCD786847 WLZ786847 WVV786847 N852383 JJ852383 TF852383 ADB852383 AMX852383 AWT852383 BGP852383 BQL852383 CAH852383 CKD852383 CTZ852383 DDV852383 DNR852383 DXN852383 EHJ852383 ERF852383 FBB852383 FKX852383 FUT852383 GEP852383 GOL852383 GYH852383 HID852383 HRZ852383 IBV852383 ILR852383 IVN852383 JFJ852383 JPF852383 JZB852383 KIX852383 KST852383 LCP852383 LML852383 LWH852383 MGD852383 MPZ852383 MZV852383 NJR852383 NTN852383 ODJ852383 ONF852383 OXB852383 PGX852383 PQT852383 QAP852383 QKL852383 QUH852383 RED852383 RNZ852383 RXV852383 SHR852383 SRN852383 TBJ852383 TLF852383 TVB852383 UEX852383 UOT852383 UYP852383 VIL852383 VSH852383 WCD852383 WLZ852383 WVV852383 N917919 JJ917919 TF917919 ADB917919 AMX917919 AWT917919 BGP917919 BQL917919 CAH917919 CKD917919 CTZ917919 DDV917919 DNR917919 DXN917919 EHJ917919 ERF917919 FBB917919 FKX917919 FUT917919 GEP917919 GOL917919 GYH917919 HID917919 HRZ917919 IBV917919 ILR917919 IVN917919 JFJ917919 JPF917919 JZB917919 KIX917919 KST917919 LCP917919 LML917919 LWH917919 MGD917919 MPZ917919 MZV917919 NJR917919 NTN917919 ODJ917919 ONF917919 OXB917919 PGX917919 PQT917919 QAP917919 QKL917919 QUH917919 RED917919 RNZ917919 RXV917919 SHR917919 SRN917919 TBJ917919 TLF917919 TVB917919 UEX917919 UOT917919 UYP917919 VIL917919 VSH917919 WCD917919 WLZ917919 WVV917919 N983455 JJ983455 TF983455 ADB983455 AMX983455 AWT983455 BGP983455 BQL983455 CAH983455 CKD983455 CTZ983455 DDV983455 DNR983455 DXN983455 EHJ983455 ERF983455 FBB983455 FKX983455 FUT983455 GEP983455 GOL983455 GYH983455 HID983455 HRZ983455 IBV983455 ILR983455 IVN983455 JFJ983455 JPF983455 JZB983455 KIX983455 KST983455 LCP983455 LML983455 LWH983455 MGD983455 MPZ983455 MZV983455 NJR983455 NTN983455 ODJ983455 ONF983455 OXB983455 PGX983455 PQT983455 QAP983455 QKL983455 QUH983455 RED983455 RNZ983455 RXV983455 SHR983455 SRN983455 TBJ983455 TLF983455 TVB983455 UEX983455 UOT983455 UYP983455 VIL983455 VSH983455 WCD983455 WLZ983455 WVV983455 N395:N396 JJ395:JJ396 TF395:TF396 ADB395:ADB396 AMX395:AMX396 AWT395:AWT396 BGP395:BGP396 BQL395:BQL396 CAH395:CAH396 CKD395:CKD396 CTZ395:CTZ396 DDV395:DDV396 DNR395:DNR396 DXN395:DXN396 EHJ395:EHJ396 ERF395:ERF396 FBB395:FBB396 FKX395:FKX396 FUT395:FUT396 GEP395:GEP396 GOL395:GOL396 GYH395:GYH396 HID395:HID396 HRZ395:HRZ396 IBV395:IBV396 ILR395:ILR396 IVN395:IVN396 JFJ395:JFJ396 JPF395:JPF396 JZB395:JZB396 KIX395:KIX396 KST395:KST396 LCP395:LCP396 LML395:LML396 LWH395:LWH396 MGD395:MGD396 MPZ395:MPZ396 MZV395:MZV396 NJR395:NJR396 NTN395:NTN396 ODJ395:ODJ396 ONF395:ONF396 OXB395:OXB396 PGX395:PGX396 PQT395:PQT396 QAP395:QAP396 QKL395:QKL396 QUH395:QUH396 RED395:RED396 RNZ395:RNZ396 RXV395:RXV396 SHR395:SHR396 SRN395:SRN396 TBJ395:TBJ396 TLF395:TLF396 TVB395:TVB396 UEX395:UEX396 UOT395:UOT396 UYP395:UYP396 VIL395:VIL396 VSH395:VSH396 WCD395:WCD396 WLZ395:WLZ396 WVV395:WVV396 N65931:N65932 JJ65931:JJ65932 TF65931:TF65932 ADB65931:ADB65932 AMX65931:AMX65932 AWT65931:AWT65932 BGP65931:BGP65932 BQL65931:BQL65932 CAH65931:CAH65932 CKD65931:CKD65932 CTZ65931:CTZ65932 DDV65931:DDV65932 DNR65931:DNR65932 DXN65931:DXN65932 EHJ65931:EHJ65932 ERF65931:ERF65932 FBB65931:FBB65932 FKX65931:FKX65932 FUT65931:FUT65932 GEP65931:GEP65932 GOL65931:GOL65932 GYH65931:GYH65932 HID65931:HID65932 HRZ65931:HRZ65932 IBV65931:IBV65932 ILR65931:ILR65932 IVN65931:IVN65932 JFJ65931:JFJ65932 JPF65931:JPF65932 JZB65931:JZB65932 KIX65931:KIX65932 KST65931:KST65932 LCP65931:LCP65932 LML65931:LML65932 LWH65931:LWH65932 MGD65931:MGD65932 MPZ65931:MPZ65932 MZV65931:MZV65932 NJR65931:NJR65932 NTN65931:NTN65932 ODJ65931:ODJ65932 ONF65931:ONF65932 OXB65931:OXB65932 PGX65931:PGX65932 PQT65931:PQT65932 QAP65931:QAP65932 QKL65931:QKL65932 QUH65931:QUH65932 RED65931:RED65932 RNZ65931:RNZ65932 RXV65931:RXV65932 SHR65931:SHR65932 SRN65931:SRN65932 TBJ65931:TBJ65932 TLF65931:TLF65932 TVB65931:TVB65932 UEX65931:UEX65932 UOT65931:UOT65932 UYP65931:UYP65932 VIL65931:VIL65932 VSH65931:VSH65932 WCD65931:WCD65932 WLZ65931:WLZ65932 WVV65931:WVV65932 N131467:N131468 JJ131467:JJ131468 TF131467:TF131468 ADB131467:ADB131468 AMX131467:AMX131468 AWT131467:AWT131468 BGP131467:BGP131468 BQL131467:BQL131468 CAH131467:CAH131468 CKD131467:CKD131468 CTZ131467:CTZ131468 DDV131467:DDV131468 DNR131467:DNR131468 DXN131467:DXN131468 EHJ131467:EHJ131468 ERF131467:ERF131468 FBB131467:FBB131468 FKX131467:FKX131468 FUT131467:FUT131468 GEP131467:GEP131468 GOL131467:GOL131468 GYH131467:GYH131468 HID131467:HID131468 HRZ131467:HRZ131468 IBV131467:IBV131468 ILR131467:ILR131468 IVN131467:IVN131468 JFJ131467:JFJ131468 JPF131467:JPF131468 JZB131467:JZB131468 KIX131467:KIX131468 KST131467:KST131468 LCP131467:LCP131468 LML131467:LML131468 LWH131467:LWH131468 MGD131467:MGD131468 MPZ131467:MPZ131468 MZV131467:MZV131468 NJR131467:NJR131468 NTN131467:NTN131468 ODJ131467:ODJ131468 ONF131467:ONF131468 OXB131467:OXB131468 PGX131467:PGX131468 PQT131467:PQT131468 QAP131467:QAP131468 QKL131467:QKL131468 QUH131467:QUH131468 RED131467:RED131468 RNZ131467:RNZ131468 RXV131467:RXV131468 SHR131467:SHR131468 SRN131467:SRN131468 TBJ131467:TBJ131468 TLF131467:TLF131468 TVB131467:TVB131468 UEX131467:UEX131468 UOT131467:UOT131468 UYP131467:UYP131468 VIL131467:VIL131468 VSH131467:VSH131468 WCD131467:WCD131468 WLZ131467:WLZ131468 WVV131467:WVV131468 N197003:N197004 JJ197003:JJ197004 TF197003:TF197004 ADB197003:ADB197004 AMX197003:AMX197004 AWT197003:AWT197004 BGP197003:BGP197004 BQL197003:BQL197004 CAH197003:CAH197004 CKD197003:CKD197004 CTZ197003:CTZ197004 DDV197003:DDV197004 DNR197003:DNR197004 DXN197003:DXN197004 EHJ197003:EHJ197004 ERF197003:ERF197004 FBB197003:FBB197004 FKX197003:FKX197004 FUT197003:FUT197004 GEP197003:GEP197004 GOL197003:GOL197004 GYH197003:GYH197004 HID197003:HID197004 HRZ197003:HRZ197004 IBV197003:IBV197004 ILR197003:ILR197004 IVN197003:IVN197004 JFJ197003:JFJ197004 JPF197003:JPF197004 JZB197003:JZB197004 KIX197003:KIX197004 KST197003:KST197004 LCP197003:LCP197004 LML197003:LML197004 LWH197003:LWH197004 MGD197003:MGD197004 MPZ197003:MPZ197004 MZV197003:MZV197004 NJR197003:NJR197004 NTN197003:NTN197004 ODJ197003:ODJ197004 ONF197003:ONF197004 OXB197003:OXB197004 PGX197003:PGX197004 PQT197003:PQT197004 QAP197003:QAP197004 QKL197003:QKL197004 QUH197003:QUH197004 RED197003:RED197004 RNZ197003:RNZ197004 RXV197003:RXV197004 SHR197003:SHR197004 SRN197003:SRN197004 TBJ197003:TBJ197004 TLF197003:TLF197004 TVB197003:TVB197004 UEX197003:UEX197004 UOT197003:UOT197004 UYP197003:UYP197004 VIL197003:VIL197004 VSH197003:VSH197004 WCD197003:WCD197004 WLZ197003:WLZ197004 WVV197003:WVV197004 N262539:N262540 JJ262539:JJ262540 TF262539:TF262540 ADB262539:ADB262540 AMX262539:AMX262540 AWT262539:AWT262540 BGP262539:BGP262540 BQL262539:BQL262540 CAH262539:CAH262540 CKD262539:CKD262540 CTZ262539:CTZ262540 DDV262539:DDV262540 DNR262539:DNR262540 DXN262539:DXN262540 EHJ262539:EHJ262540 ERF262539:ERF262540 FBB262539:FBB262540 FKX262539:FKX262540 FUT262539:FUT262540 GEP262539:GEP262540 GOL262539:GOL262540 GYH262539:GYH262540 HID262539:HID262540 HRZ262539:HRZ262540 IBV262539:IBV262540 ILR262539:ILR262540 IVN262539:IVN262540 JFJ262539:JFJ262540 JPF262539:JPF262540 JZB262539:JZB262540 KIX262539:KIX262540 KST262539:KST262540 LCP262539:LCP262540 LML262539:LML262540 LWH262539:LWH262540 MGD262539:MGD262540 MPZ262539:MPZ262540 MZV262539:MZV262540 NJR262539:NJR262540 NTN262539:NTN262540 ODJ262539:ODJ262540 ONF262539:ONF262540 OXB262539:OXB262540 PGX262539:PGX262540 PQT262539:PQT262540 QAP262539:QAP262540 QKL262539:QKL262540 QUH262539:QUH262540 RED262539:RED262540 RNZ262539:RNZ262540 RXV262539:RXV262540 SHR262539:SHR262540 SRN262539:SRN262540 TBJ262539:TBJ262540 TLF262539:TLF262540 TVB262539:TVB262540 UEX262539:UEX262540 UOT262539:UOT262540 UYP262539:UYP262540 VIL262539:VIL262540 VSH262539:VSH262540 WCD262539:WCD262540 WLZ262539:WLZ262540 WVV262539:WVV262540 N328075:N328076 JJ328075:JJ328076 TF328075:TF328076 ADB328075:ADB328076 AMX328075:AMX328076 AWT328075:AWT328076 BGP328075:BGP328076 BQL328075:BQL328076 CAH328075:CAH328076 CKD328075:CKD328076 CTZ328075:CTZ328076 DDV328075:DDV328076 DNR328075:DNR328076 DXN328075:DXN328076 EHJ328075:EHJ328076 ERF328075:ERF328076 FBB328075:FBB328076 FKX328075:FKX328076 FUT328075:FUT328076 GEP328075:GEP328076 GOL328075:GOL328076 GYH328075:GYH328076 HID328075:HID328076 HRZ328075:HRZ328076 IBV328075:IBV328076 ILR328075:ILR328076 IVN328075:IVN328076 JFJ328075:JFJ328076 JPF328075:JPF328076 JZB328075:JZB328076 KIX328075:KIX328076 KST328075:KST328076 LCP328075:LCP328076 LML328075:LML328076 LWH328075:LWH328076 MGD328075:MGD328076 MPZ328075:MPZ328076 MZV328075:MZV328076 NJR328075:NJR328076 NTN328075:NTN328076 ODJ328075:ODJ328076 ONF328075:ONF328076 OXB328075:OXB328076 PGX328075:PGX328076 PQT328075:PQT328076 QAP328075:QAP328076 QKL328075:QKL328076 QUH328075:QUH328076 RED328075:RED328076 RNZ328075:RNZ328076 RXV328075:RXV328076 SHR328075:SHR328076 SRN328075:SRN328076 TBJ328075:TBJ328076 TLF328075:TLF328076 TVB328075:TVB328076 UEX328075:UEX328076 UOT328075:UOT328076 UYP328075:UYP328076 VIL328075:VIL328076 VSH328075:VSH328076 WCD328075:WCD328076 WLZ328075:WLZ328076 WVV328075:WVV328076 N393611:N393612 JJ393611:JJ393612 TF393611:TF393612 ADB393611:ADB393612 AMX393611:AMX393612 AWT393611:AWT393612 BGP393611:BGP393612 BQL393611:BQL393612 CAH393611:CAH393612 CKD393611:CKD393612 CTZ393611:CTZ393612 DDV393611:DDV393612 DNR393611:DNR393612 DXN393611:DXN393612 EHJ393611:EHJ393612 ERF393611:ERF393612 FBB393611:FBB393612 FKX393611:FKX393612 FUT393611:FUT393612 GEP393611:GEP393612 GOL393611:GOL393612 GYH393611:GYH393612 HID393611:HID393612 HRZ393611:HRZ393612 IBV393611:IBV393612 ILR393611:ILR393612 IVN393611:IVN393612 JFJ393611:JFJ393612 JPF393611:JPF393612 JZB393611:JZB393612 KIX393611:KIX393612 KST393611:KST393612 LCP393611:LCP393612 LML393611:LML393612 LWH393611:LWH393612 MGD393611:MGD393612 MPZ393611:MPZ393612 MZV393611:MZV393612 NJR393611:NJR393612 NTN393611:NTN393612 ODJ393611:ODJ393612 ONF393611:ONF393612 OXB393611:OXB393612 PGX393611:PGX393612 PQT393611:PQT393612 QAP393611:QAP393612 QKL393611:QKL393612 QUH393611:QUH393612 RED393611:RED393612 RNZ393611:RNZ393612 RXV393611:RXV393612 SHR393611:SHR393612 SRN393611:SRN393612 TBJ393611:TBJ393612 TLF393611:TLF393612 TVB393611:TVB393612 UEX393611:UEX393612 UOT393611:UOT393612 UYP393611:UYP393612 VIL393611:VIL393612 VSH393611:VSH393612 WCD393611:WCD393612 WLZ393611:WLZ393612 WVV393611:WVV393612 N459147:N459148 JJ459147:JJ459148 TF459147:TF459148 ADB459147:ADB459148 AMX459147:AMX459148 AWT459147:AWT459148 BGP459147:BGP459148 BQL459147:BQL459148 CAH459147:CAH459148 CKD459147:CKD459148 CTZ459147:CTZ459148 DDV459147:DDV459148 DNR459147:DNR459148 DXN459147:DXN459148 EHJ459147:EHJ459148 ERF459147:ERF459148 FBB459147:FBB459148 FKX459147:FKX459148 FUT459147:FUT459148 GEP459147:GEP459148 GOL459147:GOL459148 GYH459147:GYH459148 HID459147:HID459148 HRZ459147:HRZ459148 IBV459147:IBV459148 ILR459147:ILR459148 IVN459147:IVN459148 JFJ459147:JFJ459148 JPF459147:JPF459148 JZB459147:JZB459148 KIX459147:KIX459148 KST459147:KST459148 LCP459147:LCP459148 LML459147:LML459148 LWH459147:LWH459148 MGD459147:MGD459148 MPZ459147:MPZ459148 MZV459147:MZV459148 NJR459147:NJR459148 NTN459147:NTN459148 ODJ459147:ODJ459148 ONF459147:ONF459148 OXB459147:OXB459148 PGX459147:PGX459148 PQT459147:PQT459148 QAP459147:QAP459148 QKL459147:QKL459148 QUH459147:QUH459148 RED459147:RED459148 RNZ459147:RNZ459148 RXV459147:RXV459148 SHR459147:SHR459148 SRN459147:SRN459148 TBJ459147:TBJ459148 TLF459147:TLF459148 TVB459147:TVB459148 UEX459147:UEX459148 UOT459147:UOT459148 UYP459147:UYP459148 VIL459147:VIL459148 VSH459147:VSH459148 WCD459147:WCD459148 WLZ459147:WLZ459148 WVV459147:WVV459148 N524683:N524684 JJ524683:JJ524684 TF524683:TF524684 ADB524683:ADB524684 AMX524683:AMX524684 AWT524683:AWT524684 BGP524683:BGP524684 BQL524683:BQL524684 CAH524683:CAH524684 CKD524683:CKD524684 CTZ524683:CTZ524684 DDV524683:DDV524684 DNR524683:DNR524684 DXN524683:DXN524684 EHJ524683:EHJ524684 ERF524683:ERF524684 FBB524683:FBB524684 FKX524683:FKX524684 FUT524683:FUT524684 GEP524683:GEP524684 GOL524683:GOL524684 GYH524683:GYH524684 HID524683:HID524684 HRZ524683:HRZ524684 IBV524683:IBV524684 ILR524683:ILR524684 IVN524683:IVN524684 JFJ524683:JFJ524684 JPF524683:JPF524684 JZB524683:JZB524684 KIX524683:KIX524684 KST524683:KST524684 LCP524683:LCP524684 LML524683:LML524684 LWH524683:LWH524684 MGD524683:MGD524684 MPZ524683:MPZ524684 MZV524683:MZV524684 NJR524683:NJR524684 NTN524683:NTN524684 ODJ524683:ODJ524684 ONF524683:ONF524684 OXB524683:OXB524684 PGX524683:PGX524684 PQT524683:PQT524684 QAP524683:QAP524684 QKL524683:QKL524684 QUH524683:QUH524684 RED524683:RED524684 RNZ524683:RNZ524684 RXV524683:RXV524684 SHR524683:SHR524684 SRN524683:SRN524684 TBJ524683:TBJ524684 TLF524683:TLF524684 TVB524683:TVB524684 UEX524683:UEX524684 UOT524683:UOT524684 UYP524683:UYP524684 VIL524683:VIL524684 VSH524683:VSH524684 WCD524683:WCD524684 WLZ524683:WLZ524684 WVV524683:WVV524684 N590219:N590220 JJ590219:JJ590220 TF590219:TF590220 ADB590219:ADB590220 AMX590219:AMX590220 AWT590219:AWT590220 BGP590219:BGP590220 BQL590219:BQL590220 CAH590219:CAH590220 CKD590219:CKD590220 CTZ590219:CTZ590220 DDV590219:DDV590220 DNR590219:DNR590220 DXN590219:DXN590220 EHJ590219:EHJ590220 ERF590219:ERF590220 FBB590219:FBB590220 FKX590219:FKX590220 FUT590219:FUT590220 GEP590219:GEP590220 GOL590219:GOL590220 GYH590219:GYH590220 HID590219:HID590220 HRZ590219:HRZ590220 IBV590219:IBV590220 ILR590219:ILR590220 IVN590219:IVN590220 JFJ590219:JFJ590220 JPF590219:JPF590220 JZB590219:JZB590220 KIX590219:KIX590220 KST590219:KST590220 LCP590219:LCP590220 LML590219:LML590220 LWH590219:LWH590220 MGD590219:MGD590220 MPZ590219:MPZ590220 MZV590219:MZV590220 NJR590219:NJR590220 NTN590219:NTN590220 ODJ590219:ODJ590220 ONF590219:ONF590220 OXB590219:OXB590220 PGX590219:PGX590220 PQT590219:PQT590220 QAP590219:QAP590220 QKL590219:QKL590220 QUH590219:QUH590220 RED590219:RED590220 RNZ590219:RNZ590220 RXV590219:RXV590220 SHR590219:SHR590220 SRN590219:SRN590220 TBJ590219:TBJ590220 TLF590219:TLF590220 TVB590219:TVB590220 UEX590219:UEX590220 UOT590219:UOT590220 UYP590219:UYP590220 VIL590219:VIL590220 VSH590219:VSH590220 WCD590219:WCD590220 WLZ590219:WLZ590220 WVV590219:WVV590220 N655755:N655756 JJ655755:JJ655756 TF655755:TF655756 ADB655755:ADB655756 AMX655755:AMX655756 AWT655755:AWT655756 BGP655755:BGP655756 BQL655755:BQL655756 CAH655755:CAH655756 CKD655755:CKD655756 CTZ655755:CTZ655756 DDV655755:DDV655756 DNR655755:DNR655756 DXN655755:DXN655756 EHJ655755:EHJ655756 ERF655755:ERF655756 FBB655755:FBB655756 FKX655755:FKX655756 FUT655755:FUT655756 GEP655755:GEP655756 GOL655755:GOL655756 GYH655755:GYH655756 HID655755:HID655756 HRZ655755:HRZ655756 IBV655755:IBV655756 ILR655755:ILR655756 IVN655755:IVN655756 JFJ655755:JFJ655756 JPF655755:JPF655756 JZB655755:JZB655756 KIX655755:KIX655756 KST655755:KST655756 LCP655755:LCP655756 LML655755:LML655756 LWH655755:LWH655756 MGD655755:MGD655756 MPZ655755:MPZ655756 MZV655755:MZV655756 NJR655755:NJR655756 NTN655755:NTN655756 ODJ655755:ODJ655756 ONF655755:ONF655756 OXB655755:OXB655756 PGX655755:PGX655756 PQT655755:PQT655756 QAP655755:QAP655756 QKL655755:QKL655756 QUH655755:QUH655756 RED655755:RED655756 RNZ655755:RNZ655756 RXV655755:RXV655756 SHR655755:SHR655756 SRN655755:SRN655756 TBJ655755:TBJ655756 TLF655755:TLF655756 TVB655755:TVB655756 UEX655755:UEX655756 UOT655755:UOT655756 UYP655755:UYP655756 VIL655755:VIL655756 VSH655755:VSH655756 WCD655755:WCD655756 WLZ655755:WLZ655756 WVV655755:WVV655756 N721291:N721292 JJ721291:JJ721292 TF721291:TF721292 ADB721291:ADB721292 AMX721291:AMX721292 AWT721291:AWT721292 BGP721291:BGP721292 BQL721291:BQL721292 CAH721291:CAH721292 CKD721291:CKD721292 CTZ721291:CTZ721292 DDV721291:DDV721292 DNR721291:DNR721292 DXN721291:DXN721292 EHJ721291:EHJ721292 ERF721291:ERF721292 FBB721291:FBB721292 FKX721291:FKX721292 FUT721291:FUT721292 GEP721291:GEP721292 GOL721291:GOL721292 GYH721291:GYH721292 HID721291:HID721292 HRZ721291:HRZ721292 IBV721291:IBV721292 ILR721291:ILR721292 IVN721291:IVN721292 JFJ721291:JFJ721292 JPF721291:JPF721292 JZB721291:JZB721292 KIX721291:KIX721292 KST721291:KST721292 LCP721291:LCP721292 LML721291:LML721292 LWH721291:LWH721292 MGD721291:MGD721292 MPZ721291:MPZ721292 MZV721291:MZV721292 NJR721291:NJR721292 NTN721291:NTN721292 ODJ721291:ODJ721292 ONF721291:ONF721292 OXB721291:OXB721292 PGX721291:PGX721292 PQT721291:PQT721292 QAP721291:QAP721292 QKL721291:QKL721292 QUH721291:QUH721292 RED721291:RED721292 RNZ721291:RNZ721292 RXV721291:RXV721292 SHR721291:SHR721292 SRN721291:SRN721292 TBJ721291:TBJ721292 TLF721291:TLF721292 TVB721291:TVB721292 UEX721291:UEX721292 UOT721291:UOT721292 UYP721291:UYP721292 VIL721291:VIL721292 VSH721291:VSH721292 WCD721291:WCD721292 WLZ721291:WLZ721292 WVV721291:WVV721292 N786827:N786828 JJ786827:JJ786828 TF786827:TF786828 ADB786827:ADB786828 AMX786827:AMX786828 AWT786827:AWT786828 BGP786827:BGP786828 BQL786827:BQL786828 CAH786827:CAH786828 CKD786827:CKD786828 CTZ786827:CTZ786828 DDV786827:DDV786828 DNR786827:DNR786828 DXN786827:DXN786828 EHJ786827:EHJ786828 ERF786827:ERF786828 FBB786827:FBB786828 FKX786827:FKX786828 FUT786827:FUT786828 GEP786827:GEP786828 GOL786827:GOL786828 GYH786827:GYH786828 HID786827:HID786828 HRZ786827:HRZ786828 IBV786827:IBV786828 ILR786827:ILR786828 IVN786827:IVN786828 JFJ786827:JFJ786828 JPF786827:JPF786828 JZB786827:JZB786828 KIX786827:KIX786828 KST786827:KST786828 LCP786827:LCP786828 LML786827:LML786828 LWH786827:LWH786828 MGD786827:MGD786828 MPZ786827:MPZ786828 MZV786827:MZV786828 NJR786827:NJR786828 NTN786827:NTN786828 ODJ786827:ODJ786828 ONF786827:ONF786828 OXB786827:OXB786828 PGX786827:PGX786828 PQT786827:PQT786828 QAP786827:QAP786828 QKL786827:QKL786828 QUH786827:QUH786828 RED786827:RED786828 RNZ786827:RNZ786828 RXV786827:RXV786828 SHR786827:SHR786828 SRN786827:SRN786828 TBJ786827:TBJ786828 TLF786827:TLF786828 TVB786827:TVB786828 UEX786827:UEX786828 UOT786827:UOT786828 UYP786827:UYP786828 VIL786827:VIL786828 VSH786827:VSH786828 WCD786827:WCD786828 WLZ786827:WLZ786828 WVV786827:WVV786828 N852363:N852364 JJ852363:JJ852364 TF852363:TF852364 ADB852363:ADB852364 AMX852363:AMX852364 AWT852363:AWT852364 BGP852363:BGP852364 BQL852363:BQL852364 CAH852363:CAH852364 CKD852363:CKD852364 CTZ852363:CTZ852364 DDV852363:DDV852364 DNR852363:DNR852364 DXN852363:DXN852364 EHJ852363:EHJ852364 ERF852363:ERF852364 FBB852363:FBB852364 FKX852363:FKX852364 FUT852363:FUT852364 GEP852363:GEP852364 GOL852363:GOL852364 GYH852363:GYH852364 HID852363:HID852364 HRZ852363:HRZ852364 IBV852363:IBV852364 ILR852363:ILR852364 IVN852363:IVN852364 JFJ852363:JFJ852364 JPF852363:JPF852364 JZB852363:JZB852364 KIX852363:KIX852364 KST852363:KST852364 LCP852363:LCP852364 LML852363:LML852364 LWH852363:LWH852364 MGD852363:MGD852364 MPZ852363:MPZ852364 MZV852363:MZV852364 NJR852363:NJR852364 NTN852363:NTN852364 ODJ852363:ODJ852364 ONF852363:ONF852364 OXB852363:OXB852364 PGX852363:PGX852364 PQT852363:PQT852364 QAP852363:QAP852364 QKL852363:QKL852364 QUH852363:QUH852364 RED852363:RED852364 RNZ852363:RNZ852364 RXV852363:RXV852364 SHR852363:SHR852364 SRN852363:SRN852364 TBJ852363:TBJ852364 TLF852363:TLF852364 TVB852363:TVB852364 UEX852363:UEX852364 UOT852363:UOT852364 UYP852363:UYP852364 VIL852363:VIL852364 VSH852363:VSH852364 WCD852363:WCD852364 WLZ852363:WLZ852364 WVV852363:WVV852364 N917899:N917900 JJ917899:JJ917900 TF917899:TF917900 ADB917899:ADB917900 AMX917899:AMX917900 AWT917899:AWT917900 BGP917899:BGP917900 BQL917899:BQL917900 CAH917899:CAH917900 CKD917899:CKD917900 CTZ917899:CTZ917900 DDV917899:DDV917900 DNR917899:DNR917900 DXN917899:DXN917900 EHJ917899:EHJ917900 ERF917899:ERF917900 FBB917899:FBB917900 FKX917899:FKX917900 FUT917899:FUT917900 GEP917899:GEP917900 GOL917899:GOL917900 GYH917899:GYH917900 HID917899:HID917900 HRZ917899:HRZ917900 IBV917899:IBV917900 ILR917899:ILR917900 IVN917899:IVN917900 JFJ917899:JFJ917900 JPF917899:JPF917900 JZB917899:JZB917900 KIX917899:KIX917900 KST917899:KST917900 LCP917899:LCP917900 LML917899:LML917900 LWH917899:LWH917900 MGD917899:MGD917900 MPZ917899:MPZ917900 MZV917899:MZV917900 NJR917899:NJR917900 NTN917899:NTN917900 ODJ917899:ODJ917900 ONF917899:ONF917900 OXB917899:OXB917900 PGX917899:PGX917900 PQT917899:PQT917900 QAP917899:QAP917900 QKL917899:QKL917900 QUH917899:QUH917900 RED917899:RED917900 RNZ917899:RNZ917900 RXV917899:RXV917900 SHR917899:SHR917900 SRN917899:SRN917900 TBJ917899:TBJ917900 TLF917899:TLF917900 TVB917899:TVB917900 UEX917899:UEX917900 UOT917899:UOT917900 UYP917899:UYP917900 VIL917899:VIL917900 VSH917899:VSH917900 WCD917899:WCD917900 WLZ917899:WLZ917900 WVV917899:WVV917900 N983435:N983436 JJ983435:JJ983436 TF983435:TF983436 ADB983435:ADB983436 AMX983435:AMX983436 AWT983435:AWT983436 BGP983435:BGP983436 BQL983435:BQL983436 CAH983435:CAH983436 CKD983435:CKD983436 CTZ983435:CTZ983436 DDV983435:DDV983436 DNR983435:DNR983436 DXN983435:DXN983436 EHJ983435:EHJ983436 ERF983435:ERF983436 FBB983435:FBB983436 FKX983435:FKX983436 FUT983435:FUT983436 GEP983435:GEP983436 GOL983435:GOL983436 GYH983435:GYH983436 HID983435:HID983436 HRZ983435:HRZ983436 IBV983435:IBV983436 ILR983435:ILR983436 IVN983435:IVN983436 JFJ983435:JFJ983436 JPF983435:JPF983436 JZB983435:JZB983436 KIX983435:KIX983436 KST983435:KST983436 LCP983435:LCP983436 LML983435:LML983436 LWH983435:LWH983436 MGD983435:MGD983436 MPZ983435:MPZ983436 MZV983435:MZV983436 NJR983435:NJR983436 NTN983435:NTN983436 ODJ983435:ODJ983436 ONF983435:ONF983436 OXB983435:OXB983436 PGX983435:PGX983436 PQT983435:PQT983436 QAP983435:QAP983436 QKL983435:QKL983436 QUH983435:QUH983436 RED983435:RED983436 RNZ983435:RNZ983436 RXV983435:RXV983436 SHR983435:SHR983436 SRN983435:SRN983436 TBJ983435:TBJ983436 TLF983435:TLF983436 TVB983435:TVB983436 UEX983435:UEX983436 UOT983435:UOT983436 UYP983435:UYP983436 VIL983435:VIL983436 VSH983435:VSH983436 WCD983435:WCD983436 WLZ983435:WLZ983436 WVV983435:WVV983436 AD411 JZ411 TV411 ADR411 ANN411 AXJ411 BHF411 BRB411 CAX411 CKT411 CUP411 DEL411 DOH411 DYD411 EHZ411 ERV411 FBR411 FLN411 FVJ411 GFF411 GPB411 GYX411 HIT411 HSP411 ICL411 IMH411 IWD411 JFZ411 JPV411 JZR411 KJN411 KTJ411 LDF411 LNB411 LWX411 MGT411 MQP411 NAL411 NKH411 NUD411 ODZ411 ONV411 OXR411 PHN411 PRJ411 QBF411 QLB411 QUX411 RET411 ROP411 RYL411 SIH411 SSD411 TBZ411 TLV411 TVR411 UFN411 UPJ411 UZF411 VJB411 VSX411 WCT411 WMP411 WWL411 AD65947 JZ65947 TV65947 ADR65947 ANN65947 AXJ65947 BHF65947 BRB65947 CAX65947 CKT65947 CUP65947 DEL65947 DOH65947 DYD65947 EHZ65947 ERV65947 FBR65947 FLN65947 FVJ65947 GFF65947 GPB65947 GYX65947 HIT65947 HSP65947 ICL65947 IMH65947 IWD65947 JFZ65947 JPV65947 JZR65947 KJN65947 KTJ65947 LDF65947 LNB65947 LWX65947 MGT65947 MQP65947 NAL65947 NKH65947 NUD65947 ODZ65947 ONV65947 OXR65947 PHN65947 PRJ65947 QBF65947 QLB65947 QUX65947 RET65947 ROP65947 RYL65947 SIH65947 SSD65947 TBZ65947 TLV65947 TVR65947 UFN65947 UPJ65947 UZF65947 VJB65947 VSX65947 WCT65947 WMP65947 WWL65947 AD131483 JZ131483 TV131483 ADR131483 ANN131483 AXJ131483 BHF131483 BRB131483 CAX131483 CKT131483 CUP131483 DEL131483 DOH131483 DYD131483 EHZ131483 ERV131483 FBR131483 FLN131483 FVJ131483 GFF131483 GPB131483 GYX131483 HIT131483 HSP131483 ICL131483 IMH131483 IWD131483 JFZ131483 JPV131483 JZR131483 KJN131483 KTJ131483 LDF131483 LNB131483 LWX131483 MGT131483 MQP131483 NAL131483 NKH131483 NUD131483 ODZ131483 ONV131483 OXR131483 PHN131483 PRJ131483 QBF131483 QLB131483 QUX131483 RET131483 ROP131483 RYL131483 SIH131483 SSD131483 TBZ131483 TLV131483 TVR131483 UFN131483 UPJ131483 UZF131483 VJB131483 VSX131483 WCT131483 WMP131483 WWL131483 AD197019 JZ197019 TV197019 ADR197019 ANN197019 AXJ197019 BHF197019 BRB197019 CAX197019 CKT197019 CUP197019 DEL197019 DOH197019 DYD197019 EHZ197019 ERV197019 FBR197019 FLN197019 FVJ197019 GFF197019 GPB197019 GYX197019 HIT197019 HSP197019 ICL197019 IMH197019 IWD197019 JFZ197019 JPV197019 JZR197019 KJN197019 KTJ197019 LDF197019 LNB197019 LWX197019 MGT197019 MQP197019 NAL197019 NKH197019 NUD197019 ODZ197019 ONV197019 OXR197019 PHN197019 PRJ197019 QBF197019 QLB197019 QUX197019 RET197019 ROP197019 RYL197019 SIH197019 SSD197019 TBZ197019 TLV197019 TVR197019 UFN197019 UPJ197019 UZF197019 VJB197019 VSX197019 WCT197019 WMP197019 WWL197019 AD262555 JZ262555 TV262555 ADR262555 ANN262555 AXJ262555 BHF262555 BRB262555 CAX262555 CKT262555 CUP262555 DEL262555 DOH262555 DYD262555 EHZ262555 ERV262555 FBR262555 FLN262555 FVJ262555 GFF262555 GPB262555 GYX262555 HIT262555 HSP262555 ICL262555 IMH262555 IWD262555 JFZ262555 JPV262555 JZR262555 KJN262555 KTJ262555 LDF262555 LNB262555 LWX262555 MGT262555 MQP262555 NAL262555 NKH262555 NUD262555 ODZ262555 ONV262555 OXR262555 PHN262555 PRJ262555 QBF262555 QLB262555 QUX262555 RET262555 ROP262555 RYL262555 SIH262555 SSD262555 TBZ262555 TLV262555 TVR262555 UFN262555 UPJ262555 UZF262555 VJB262555 VSX262555 WCT262555 WMP262555 WWL262555 AD328091 JZ328091 TV328091 ADR328091 ANN328091 AXJ328091 BHF328091 BRB328091 CAX328091 CKT328091 CUP328091 DEL328091 DOH328091 DYD328091 EHZ328091 ERV328091 FBR328091 FLN328091 FVJ328091 GFF328091 GPB328091 GYX328091 HIT328091 HSP328091 ICL328091 IMH328091 IWD328091 JFZ328091 JPV328091 JZR328091 KJN328091 KTJ328091 LDF328091 LNB328091 LWX328091 MGT328091 MQP328091 NAL328091 NKH328091 NUD328091 ODZ328091 ONV328091 OXR328091 PHN328091 PRJ328091 QBF328091 QLB328091 QUX328091 RET328091 ROP328091 RYL328091 SIH328091 SSD328091 TBZ328091 TLV328091 TVR328091 UFN328091 UPJ328091 UZF328091 VJB328091 VSX328091 WCT328091 WMP328091 WWL328091 AD393627 JZ393627 TV393627 ADR393627 ANN393627 AXJ393627 BHF393627 BRB393627 CAX393627 CKT393627 CUP393627 DEL393627 DOH393627 DYD393627 EHZ393627 ERV393627 FBR393627 FLN393627 FVJ393627 GFF393627 GPB393627 GYX393627 HIT393627 HSP393627 ICL393627 IMH393627 IWD393627 JFZ393627 JPV393627 JZR393627 KJN393627 KTJ393627 LDF393627 LNB393627 LWX393627 MGT393627 MQP393627 NAL393627 NKH393627 NUD393627 ODZ393627 ONV393627 OXR393627 PHN393627 PRJ393627 QBF393627 QLB393627 QUX393627 RET393627 ROP393627 RYL393627 SIH393627 SSD393627 TBZ393627 TLV393627 TVR393627 UFN393627 UPJ393627 UZF393627 VJB393627 VSX393627 WCT393627 WMP393627 WWL393627 AD459163 JZ459163 TV459163 ADR459163 ANN459163 AXJ459163 BHF459163 BRB459163 CAX459163 CKT459163 CUP459163 DEL459163 DOH459163 DYD459163 EHZ459163 ERV459163 FBR459163 FLN459163 FVJ459163 GFF459163 GPB459163 GYX459163 HIT459163 HSP459163 ICL459163 IMH459163 IWD459163 JFZ459163 JPV459163 JZR459163 KJN459163 KTJ459163 LDF459163 LNB459163 LWX459163 MGT459163 MQP459163 NAL459163 NKH459163 NUD459163 ODZ459163 ONV459163 OXR459163 PHN459163 PRJ459163 QBF459163 QLB459163 QUX459163 RET459163 ROP459163 RYL459163 SIH459163 SSD459163 TBZ459163 TLV459163 TVR459163 UFN459163 UPJ459163 UZF459163 VJB459163 VSX459163 WCT459163 WMP459163 WWL459163 AD524699 JZ524699 TV524699 ADR524699 ANN524699 AXJ524699 BHF524699 BRB524699 CAX524699 CKT524699 CUP524699 DEL524699 DOH524699 DYD524699 EHZ524699 ERV524699 FBR524699 FLN524699 FVJ524699 GFF524699 GPB524699 GYX524699 HIT524699 HSP524699 ICL524699 IMH524699 IWD524699 JFZ524699 JPV524699 JZR524699 KJN524699 KTJ524699 LDF524699 LNB524699 LWX524699 MGT524699 MQP524699 NAL524699 NKH524699 NUD524699 ODZ524699 ONV524699 OXR524699 PHN524699 PRJ524699 QBF524699 QLB524699 QUX524699 RET524699 ROP524699 RYL524699 SIH524699 SSD524699 TBZ524699 TLV524699 TVR524699 UFN524699 UPJ524699 UZF524699 VJB524699 VSX524699 WCT524699 WMP524699 WWL524699 AD590235 JZ590235 TV590235 ADR590235 ANN590235 AXJ590235 BHF590235 BRB590235 CAX590235 CKT590235 CUP590235 DEL590235 DOH590235 DYD590235 EHZ590235 ERV590235 FBR590235 FLN590235 FVJ590235 GFF590235 GPB590235 GYX590235 HIT590235 HSP590235 ICL590235 IMH590235 IWD590235 JFZ590235 JPV590235 JZR590235 KJN590235 KTJ590235 LDF590235 LNB590235 LWX590235 MGT590235 MQP590235 NAL590235 NKH590235 NUD590235 ODZ590235 ONV590235 OXR590235 PHN590235 PRJ590235 QBF590235 QLB590235 QUX590235 RET590235 ROP590235 RYL590235 SIH590235 SSD590235 TBZ590235 TLV590235 TVR590235 UFN590235 UPJ590235 UZF590235 VJB590235 VSX590235 WCT590235 WMP590235 WWL590235 AD655771 JZ655771 TV655771 ADR655771 ANN655771 AXJ655771 BHF655771 BRB655771 CAX655771 CKT655771 CUP655771 DEL655771 DOH655771 DYD655771 EHZ655771 ERV655771 FBR655771 FLN655771 FVJ655771 GFF655771 GPB655771 GYX655771 HIT655771 HSP655771 ICL655771 IMH655771 IWD655771 JFZ655771 JPV655771 JZR655771 KJN655771 KTJ655771 LDF655771 LNB655771 LWX655771 MGT655771 MQP655771 NAL655771 NKH655771 NUD655771 ODZ655771 ONV655771 OXR655771 PHN655771 PRJ655771 QBF655771 QLB655771 QUX655771 RET655771 ROP655771 RYL655771 SIH655771 SSD655771 TBZ655771 TLV655771 TVR655771 UFN655771 UPJ655771 UZF655771 VJB655771 VSX655771 WCT655771 WMP655771 WWL655771 AD721307 JZ721307 TV721307 ADR721307 ANN721307 AXJ721307 BHF721307 BRB721307 CAX721307 CKT721307 CUP721307 DEL721307 DOH721307 DYD721307 EHZ721307 ERV721307 FBR721307 FLN721307 FVJ721307 GFF721307 GPB721307 GYX721307 HIT721307 HSP721307 ICL721307 IMH721307 IWD721307 JFZ721307 JPV721307 JZR721307 KJN721307 KTJ721307 LDF721307 LNB721307 LWX721307 MGT721307 MQP721307 NAL721307 NKH721307 NUD721307 ODZ721307 ONV721307 OXR721307 PHN721307 PRJ721307 QBF721307 QLB721307 QUX721307 RET721307 ROP721307 RYL721307 SIH721307 SSD721307 TBZ721307 TLV721307 TVR721307 UFN721307 UPJ721307 UZF721307 VJB721307 VSX721307 WCT721307 WMP721307 WWL721307 AD786843 JZ786843 TV786843 ADR786843 ANN786843 AXJ786843 BHF786843 BRB786843 CAX786843 CKT786843 CUP786843 DEL786843 DOH786843 DYD786843 EHZ786843 ERV786843 FBR786843 FLN786843 FVJ786843 GFF786843 GPB786843 GYX786843 HIT786843 HSP786843 ICL786843 IMH786843 IWD786843 JFZ786843 JPV786843 JZR786843 KJN786843 KTJ786843 LDF786843 LNB786843 LWX786843 MGT786843 MQP786843 NAL786843 NKH786843 NUD786843 ODZ786843 ONV786843 OXR786843 PHN786843 PRJ786843 QBF786843 QLB786843 QUX786843 RET786843 ROP786843 RYL786843 SIH786843 SSD786843 TBZ786843 TLV786843 TVR786843 UFN786843 UPJ786843 UZF786843 VJB786843 VSX786843 WCT786843 WMP786843 WWL786843 AD852379 JZ852379 TV852379 ADR852379 ANN852379 AXJ852379 BHF852379 BRB852379 CAX852379 CKT852379 CUP852379 DEL852379 DOH852379 DYD852379 EHZ852379 ERV852379 FBR852379 FLN852379 FVJ852379 GFF852379 GPB852379 GYX852379 HIT852379 HSP852379 ICL852379 IMH852379 IWD852379 JFZ852379 JPV852379 JZR852379 KJN852379 KTJ852379 LDF852379 LNB852379 LWX852379 MGT852379 MQP852379 NAL852379 NKH852379 NUD852379 ODZ852379 ONV852379 OXR852379 PHN852379 PRJ852379 QBF852379 QLB852379 QUX852379 RET852379 ROP852379 RYL852379 SIH852379 SSD852379 TBZ852379 TLV852379 TVR852379 UFN852379 UPJ852379 UZF852379 VJB852379 VSX852379 WCT852379 WMP852379 WWL852379 AD917915 JZ917915 TV917915 ADR917915 ANN917915 AXJ917915 BHF917915 BRB917915 CAX917915 CKT917915 CUP917915 DEL917915 DOH917915 DYD917915 EHZ917915 ERV917915 FBR917915 FLN917915 FVJ917915 GFF917915 GPB917915 GYX917915 HIT917915 HSP917915 ICL917915 IMH917915 IWD917915 JFZ917915 JPV917915 JZR917915 KJN917915 KTJ917915 LDF917915 LNB917915 LWX917915 MGT917915 MQP917915 NAL917915 NKH917915 NUD917915 ODZ917915 ONV917915 OXR917915 PHN917915 PRJ917915 QBF917915 QLB917915 QUX917915 RET917915 ROP917915 RYL917915 SIH917915 SSD917915 TBZ917915 TLV917915 TVR917915 UFN917915 UPJ917915 UZF917915 VJB917915 VSX917915 WCT917915 WMP917915 WWL917915 AD983451 JZ983451 TV983451 ADR983451 ANN983451 AXJ983451 BHF983451 BRB983451 CAX983451 CKT983451 CUP983451 DEL983451 DOH983451 DYD983451 EHZ983451 ERV983451 FBR983451 FLN983451 FVJ983451 GFF983451 GPB983451 GYX983451 HIT983451 HSP983451 ICL983451 IMH983451 IWD983451 JFZ983451 JPV983451 JZR983451 KJN983451 KTJ983451 LDF983451 LNB983451 LWX983451 MGT983451 MQP983451 NAL983451 NKH983451 NUD983451 ODZ983451 ONV983451 OXR983451 PHN983451 PRJ983451 QBF983451 QLB983451 QUX983451 RET983451 ROP983451 RYL983451 SIH983451 SSD983451 TBZ983451 TLV983451 TVR983451 UFN983451 UPJ983451 UZF983451 VJB983451 VSX983451 WCT983451 WMP983451 WWL983451 AD413 JZ413 TV413 ADR413 ANN413 AXJ413 BHF413 BRB413 CAX413 CKT413 CUP413 DEL413 DOH413 DYD413 EHZ413 ERV413 FBR413 FLN413 FVJ413 GFF413 GPB413 GYX413 HIT413 HSP413 ICL413 IMH413 IWD413 JFZ413 JPV413 JZR413 KJN413 KTJ413 LDF413 LNB413 LWX413 MGT413 MQP413 NAL413 NKH413 NUD413 ODZ413 ONV413 OXR413 PHN413 PRJ413 QBF413 QLB413 QUX413 RET413 ROP413 RYL413 SIH413 SSD413 TBZ413 TLV413 TVR413 UFN413 UPJ413 UZF413 VJB413 VSX413 WCT413 WMP413 WWL413 AD65949 JZ65949 TV65949 ADR65949 ANN65949 AXJ65949 BHF65949 BRB65949 CAX65949 CKT65949 CUP65949 DEL65949 DOH65949 DYD65949 EHZ65949 ERV65949 FBR65949 FLN65949 FVJ65949 GFF65949 GPB65949 GYX65949 HIT65949 HSP65949 ICL65949 IMH65949 IWD65949 JFZ65949 JPV65949 JZR65949 KJN65949 KTJ65949 LDF65949 LNB65949 LWX65949 MGT65949 MQP65949 NAL65949 NKH65949 NUD65949 ODZ65949 ONV65949 OXR65949 PHN65949 PRJ65949 QBF65949 QLB65949 QUX65949 RET65949 ROP65949 RYL65949 SIH65949 SSD65949 TBZ65949 TLV65949 TVR65949 UFN65949 UPJ65949 UZF65949 VJB65949 VSX65949 WCT65949 WMP65949 WWL65949 AD131485 JZ131485 TV131485 ADR131485 ANN131485 AXJ131485 BHF131485 BRB131485 CAX131485 CKT131485 CUP131485 DEL131485 DOH131485 DYD131485 EHZ131485 ERV131485 FBR131485 FLN131485 FVJ131485 GFF131485 GPB131485 GYX131485 HIT131485 HSP131485 ICL131485 IMH131485 IWD131485 JFZ131485 JPV131485 JZR131485 KJN131485 KTJ131485 LDF131485 LNB131485 LWX131485 MGT131485 MQP131485 NAL131485 NKH131485 NUD131485 ODZ131485 ONV131485 OXR131485 PHN131485 PRJ131485 QBF131485 QLB131485 QUX131485 RET131485 ROP131485 RYL131485 SIH131485 SSD131485 TBZ131485 TLV131485 TVR131485 UFN131485 UPJ131485 UZF131485 VJB131485 VSX131485 WCT131485 WMP131485 WWL131485 AD197021 JZ197021 TV197021 ADR197021 ANN197021 AXJ197021 BHF197021 BRB197021 CAX197021 CKT197021 CUP197021 DEL197021 DOH197021 DYD197021 EHZ197021 ERV197021 FBR197021 FLN197021 FVJ197021 GFF197021 GPB197021 GYX197021 HIT197021 HSP197021 ICL197021 IMH197021 IWD197021 JFZ197021 JPV197021 JZR197021 KJN197021 KTJ197021 LDF197021 LNB197021 LWX197021 MGT197021 MQP197021 NAL197021 NKH197021 NUD197021 ODZ197021 ONV197021 OXR197021 PHN197021 PRJ197021 QBF197021 QLB197021 QUX197021 RET197021 ROP197021 RYL197021 SIH197021 SSD197021 TBZ197021 TLV197021 TVR197021 UFN197021 UPJ197021 UZF197021 VJB197021 VSX197021 WCT197021 WMP197021 WWL197021 AD262557 JZ262557 TV262557 ADR262557 ANN262557 AXJ262557 BHF262557 BRB262557 CAX262557 CKT262557 CUP262557 DEL262557 DOH262557 DYD262557 EHZ262557 ERV262557 FBR262557 FLN262557 FVJ262557 GFF262557 GPB262557 GYX262557 HIT262557 HSP262557 ICL262557 IMH262557 IWD262557 JFZ262557 JPV262557 JZR262557 KJN262557 KTJ262557 LDF262557 LNB262557 LWX262557 MGT262557 MQP262557 NAL262557 NKH262557 NUD262557 ODZ262557 ONV262557 OXR262557 PHN262557 PRJ262557 QBF262557 QLB262557 QUX262557 RET262557 ROP262557 RYL262557 SIH262557 SSD262557 TBZ262557 TLV262557 TVR262557 UFN262557 UPJ262557 UZF262557 VJB262557 VSX262557 WCT262557 WMP262557 WWL262557 AD328093 JZ328093 TV328093 ADR328093 ANN328093 AXJ328093 BHF328093 BRB328093 CAX328093 CKT328093 CUP328093 DEL328093 DOH328093 DYD328093 EHZ328093 ERV328093 FBR328093 FLN328093 FVJ328093 GFF328093 GPB328093 GYX328093 HIT328093 HSP328093 ICL328093 IMH328093 IWD328093 JFZ328093 JPV328093 JZR328093 KJN328093 KTJ328093 LDF328093 LNB328093 LWX328093 MGT328093 MQP328093 NAL328093 NKH328093 NUD328093 ODZ328093 ONV328093 OXR328093 PHN328093 PRJ328093 QBF328093 QLB328093 QUX328093 RET328093 ROP328093 RYL328093 SIH328093 SSD328093 TBZ328093 TLV328093 TVR328093 UFN328093 UPJ328093 UZF328093 VJB328093 VSX328093 WCT328093 WMP328093 WWL328093 AD393629 JZ393629 TV393629 ADR393629 ANN393629 AXJ393629 BHF393629 BRB393629 CAX393629 CKT393629 CUP393629 DEL393629 DOH393629 DYD393629 EHZ393629 ERV393629 FBR393629 FLN393629 FVJ393629 GFF393629 GPB393629 GYX393629 HIT393629 HSP393629 ICL393629 IMH393629 IWD393629 JFZ393629 JPV393629 JZR393629 KJN393629 KTJ393629 LDF393629 LNB393629 LWX393629 MGT393629 MQP393629 NAL393629 NKH393629 NUD393629 ODZ393629 ONV393629 OXR393629 PHN393629 PRJ393629 QBF393629 QLB393629 QUX393629 RET393629 ROP393629 RYL393629 SIH393629 SSD393629 TBZ393629 TLV393629 TVR393629 UFN393629 UPJ393629 UZF393629 VJB393629 VSX393629 WCT393629 WMP393629 WWL393629 AD459165 JZ459165 TV459165 ADR459165 ANN459165 AXJ459165 BHF459165 BRB459165 CAX459165 CKT459165 CUP459165 DEL459165 DOH459165 DYD459165 EHZ459165 ERV459165 FBR459165 FLN459165 FVJ459165 GFF459165 GPB459165 GYX459165 HIT459165 HSP459165 ICL459165 IMH459165 IWD459165 JFZ459165 JPV459165 JZR459165 KJN459165 KTJ459165 LDF459165 LNB459165 LWX459165 MGT459165 MQP459165 NAL459165 NKH459165 NUD459165 ODZ459165 ONV459165 OXR459165 PHN459165 PRJ459165 QBF459165 QLB459165 QUX459165 RET459165 ROP459165 RYL459165 SIH459165 SSD459165 TBZ459165 TLV459165 TVR459165 UFN459165 UPJ459165 UZF459165 VJB459165 VSX459165 WCT459165 WMP459165 WWL459165 AD524701 JZ524701 TV524701 ADR524701 ANN524701 AXJ524701 BHF524701 BRB524701 CAX524701 CKT524701 CUP524701 DEL524701 DOH524701 DYD524701 EHZ524701 ERV524701 FBR524701 FLN524701 FVJ524701 GFF524701 GPB524701 GYX524701 HIT524701 HSP524701 ICL524701 IMH524701 IWD524701 JFZ524701 JPV524701 JZR524701 KJN524701 KTJ524701 LDF524701 LNB524701 LWX524701 MGT524701 MQP524701 NAL524701 NKH524701 NUD524701 ODZ524701 ONV524701 OXR524701 PHN524701 PRJ524701 QBF524701 QLB524701 QUX524701 RET524701 ROP524701 RYL524701 SIH524701 SSD524701 TBZ524701 TLV524701 TVR524701 UFN524701 UPJ524701 UZF524701 VJB524701 VSX524701 WCT524701 WMP524701 WWL524701 AD590237 JZ590237 TV590237 ADR590237 ANN590237 AXJ590237 BHF590237 BRB590237 CAX590237 CKT590237 CUP590237 DEL590237 DOH590237 DYD590237 EHZ590237 ERV590237 FBR590237 FLN590237 FVJ590237 GFF590237 GPB590237 GYX590237 HIT590237 HSP590237 ICL590237 IMH590237 IWD590237 JFZ590237 JPV590237 JZR590237 KJN590237 KTJ590237 LDF590237 LNB590237 LWX590237 MGT590237 MQP590237 NAL590237 NKH590237 NUD590237 ODZ590237 ONV590237 OXR590237 PHN590237 PRJ590237 QBF590237 QLB590237 QUX590237 RET590237 ROP590237 RYL590237 SIH590237 SSD590237 TBZ590237 TLV590237 TVR590237 UFN590237 UPJ590237 UZF590237 VJB590237 VSX590237 WCT590237 WMP590237 WWL590237 AD655773 JZ655773 TV655773 ADR655773 ANN655773 AXJ655773 BHF655773 BRB655773 CAX655773 CKT655773 CUP655773 DEL655773 DOH655773 DYD655773 EHZ655773 ERV655773 FBR655773 FLN655773 FVJ655773 GFF655773 GPB655773 GYX655773 HIT655773 HSP655773 ICL655773 IMH655773 IWD655773 JFZ655773 JPV655773 JZR655773 KJN655773 KTJ655773 LDF655773 LNB655773 LWX655773 MGT655773 MQP655773 NAL655773 NKH655773 NUD655773 ODZ655773 ONV655773 OXR655773 PHN655773 PRJ655773 QBF655773 QLB655773 QUX655773 RET655773 ROP655773 RYL655773 SIH655773 SSD655773 TBZ655773 TLV655773 TVR655773 UFN655773 UPJ655773 UZF655773 VJB655773 VSX655773 WCT655773 WMP655773 WWL655773 AD721309 JZ721309 TV721309 ADR721309 ANN721309 AXJ721309 BHF721309 BRB721309 CAX721309 CKT721309 CUP721309 DEL721309 DOH721309 DYD721309 EHZ721309 ERV721309 FBR721309 FLN721309 FVJ721309 GFF721309 GPB721309 GYX721309 HIT721309 HSP721309 ICL721309 IMH721309 IWD721309 JFZ721309 JPV721309 JZR721309 KJN721309 KTJ721309 LDF721309 LNB721309 LWX721309 MGT721309 MQP721309 NAL721309 NKH721309 NUD721309 ODZ721309 ONV721309 OXR721309 PHN721309 PRJ721309 QBF721309 QLB721309 QUX721309 RET721309 ROP721309 RYL721309 SIH721309 SSD721309 TBZ721309 TLV721309 TVR721309 UFN721309 UPJ721309 UZF721309 VJB721309 VSX721309 WCT721309 WMP721309 WWL721309 AD786845 JZ786845 TV786845 ADR786845 ANN786845 AXJ786845 BHF786845 BRB786845 CAX786845 CKT786845 CUP786845 DEL786845 DOH786845 DYD786845 EHZ786845 ERV786845 FBR786845 FLN786845 FVJ786845 GFF786845 GPB786845 GYX786845 HIT786845 HSP786845 ICL786845 IMH786845 IWD786845 JFZ786845 JPV786845 JZR786845 KJN786845 KTJ786845 LDF786845 LNB786845 LWX786845 MGT786845 MQP786845 NAL786845 NKH786845 NUD786845 ODZ786845 ONV786845 OXR786845 PHN786845 PRJ786845 QBF786845 QLB786845 QUX786845 RET786845 ROP786845 RYL786845 SIH786845 SSD786845 TBZ786845 TLV786845 TVR786845 UFN786845 UPJ786845 UZF786845 VJB786845 VSX786845 WCT786845 WMP786845 WWL786845 AD852381 JZ852381 TV852381 ADR852381 ANN852381 AXJ852381 BHF852381 BRB852381 CAX852381 CKT852381 CUP852381 DEL852381 DOH852381 DYD852381 EHZ852381 ERV852381 FBR852381 FLN852381 FVJ852381 GFF852381 GPB852381 GYX852381 HIT852381 HSP852381 ICL852381 IMH852381 IWD852381 JFZ852381 JPV852381 JZR852381 KJN852381 KTJ852381 LDF852381 LNB852381 LWX852381 MGT852381 MQP852381 NAL852381 NKH852381 NUD852381 ODZ852381 ONV852381 OXR852381 PHN852381 PRJ852381 QBF852381 QLB852381 QUX852381 RET852381 ROP852381 RYL852381 SIH852381 SSD852381 TBZ852381 TLV852381 TVR852381 UFN852381 UPJ852381 UZF852381 VJB852381 VSX852381 WCT852381 WMP852381 WWL852381 AD917917 JZ917917 TV917917 ADR917917 ANN917917 AXJ917917 BHF917917 BRB917917 CAX917917 CKT917917 CUP917917 DEL917917 DOH917917 DYD917917 EHZ917917 ERV917917 FBR917917 FLN917917 FVJ917917 GFF917917 GPB917917 GYX917917 HIT917917 HSP917917 ICL917917 IMH917917 IWD917917 JFZ917917 JPV917917 JZR917917 KJN917917 KTJ917917 LDF917917 LNB917917 LWX917917 MGT917917 MQP917917 NAL917917 NKH917917 NUD917917 ODZ917917 ONV917917 OXR917917 PHN917917 PRJ917917 QBF917917 QLB917917 QUX917917 RET917917 ROP917917 RYL917917 SIH917917 SSD917917 TBZ917917 TLV917917 TVR917917 UFN917917 UPJ917917 UZF917917 VJB917917 VSX917917 WCT917917 WMP917917 WWL917917 AD983453 JZ983453 TV983453 ADR983453 ANN983453 AXJ983453 BHF983453 BRB983453 CAX983453 CKT983453 CUP983453 DEL983453 DOH983453 DYD983453 EHZ983453 ERV983453 FBR983453 FLN983453 FVJ983453 GFF983453 GPB983453 GYX983453 HIT983453 HSP983453 ICL983453 IMH983453 IWD983453 JFZ983453 JPV983453 JZR983453 KJN983453 KTJ983453 LDF983453 LNB983453 LWX983453 MGT983453 MQP983453 NAL983453 NKH983453 NUD983453 ODZ983453 ONV983453 OXR983453 PHN983453 PRJ983453 QBF983453 QLB983453 QUX983453 RET983453 ROP983453 RYL983453 SIH983453 SSD983453 TBZ983453 TLV983453 TVR983453 UFN983453 UPJ983453 UZF983453 VJB983453 VSX983453 WCT983453 WMP983453 WWL983453 N393 JJ393 TF393 ADB393 AMX393 AWT393 BGP393 BQL393 CAH393 CKD393 CTZ393 DDV393 DNR393 DXN393 EHJ393 ERF393 FBB393 FKX393 FUT393 GEP393 GOL393 GYH393 HID393 HRZ393 IBV393 ILR393 IVN393 JFJ393 JPF393 JZB393 KIX393 KST393 LCP393 LML393 LWH393 MGD393 MPZ393 MZV393 NJR393 NTN393 ODJ393 ONF393 OXB393 PGX393 PQT393 QAP393 QKL393 QUH393 RED393 RNZ393 RXV393 SHR393 SRN393 TBJ393 TLF393 TVB393 UEX393 UOT393 UYP393 VIL393 VSH393 WCD393 WLZ393 WVV393 N65929 JJ65929 TF65929 ADB65929 AMX65929 AWT65929 BGP65929 BQL65929 CAH65929 CKD65929 CTZ65929 DDV65929 DNR65929 DXN65929 EHJ65929 ERF65929 FBB65929 FKX65929 FUT65929 GEP65929 GOL65929 GYH65929 HID65929 HRZ65929 IBV65929 ILR65929 IVN65929 JFJ65929 JPF65929 JZB65929 KIX65929 KST65929 LCP65929 LML65929 LWH65929 MGD65929 MPZ65929 MZV65929 NJR65929 NTN65929 ODJ65929 ONF65929 OXB65929 PGX65929 PQT65929 QAP65929 QKL65929 QUH65929 RED65929 RNZ65929 RXV65929 SHR65929 SRN65929 TBJ65929 TLF65929 TVB65929 UEX65929 UOT65929 UYP65929 VIL65929 VSH65929 WCD65929 WLZ65929 WVV65929 N131465 JJ131465 TF131465 ADB131465 AMX131465 AWT131465 BGP131465 BQL131465 CAH131465 CKD131465 CTZ131465 DDV131465 DNR131465 DXN131465 EHJ131465 ERF131465 FBB131465 FKX131465 FUT131465 GEP131465 GOL131465 GYH131465 HID131465 HRZ131465 IBV131465 ILR131465 IVN131465 JFJ131465 JPF131465 JZB131465 KIX131465 KST131465 LCP131465 LML131465 LWH131465 MGD131465 MPZ131465 MZV131465 NJR131465 NTN131465 ODJ131465 ONF131465 OXB131465 PGX131465 PQT131465 QAP131465 QKL131465 QUH131465 RED131465 RNZ131465 RXV131465 SHR131465 SRN131465 TBJ131465 TLF131465 TVB131465 UEX131465 UOT131465 UYP131465 VIL131465 VSH131465 WCD131465 WLZ131465 WVV131465 N197001 JJ197001 TF197001 ADB197001 AMX197001 AWT197001 BGP197001 BQL197001 CAH197001 CKD197001 CTZ197001 DDV197001 DNR197001 DXN197001 EHJ197001 ERF197001 FBB197001 FKX197001 FUT197001 GEP197001 GOL197001 GYH197001 HID197001 HRZ197001 IBV197001 ILR197001 IVN197001 JFJ197001 JPF197001 JZB197001 KIX197001 KST197001 LCP197001 LML197001 LWH197001 MGD197001 MPZ197001 MZV197001 NJR197001 NTN197001 ODJ197001 ONF197001 OXB197001 PGX197001 PQT197001 QAP197001 QKL197001 QUH197001 RED197001 RNZ197001 RXV197001 SHR197001 SRN197001 TBJ197001 TLF197001 TVB197001 UEX197001 UOT197001 UYP197001 VIL197001 VSH197001 WCD197001 WLZ197001 WVV197001 N262537 JJ262537 TF262537 ADB262537 AMX262537 AWT262537 BGP262537 BQL262537 CAH262537 CKD262537 CTZ262537 DDV262537 DNR262537 DXN262537 EHJ262537 ERF262537 FBB262537 FKX262537 FUT262537 GEP262537 GOL262537 GYH262537 HID262537 HRZ262537 IBV262537 ILR262537 IVN262537 JFJ262537 JPF262537 JZB262537 KIX262537 KST262537 LCP262537 LML262537 LWH262537 MGD262537 MPZ262537 MZV262537 NJR262537 NTN262537 ODJ262537 ONF262537 OXB262537 PGX262537 PQT262537 QAP262537 QKL262537 QUH262537 RED262537 RNZ262537 RXV262537 SHR262537 SRN262537 TBJ262537 TLF262537 TVB262537 UEX262537 UOT262537 UYP262537 VIL262537 VSH262537 WCD262537 WLZ262537 WVV262537 N328073 JJ328073 TF328073 ADB328073 AMX328073 AWT328073 BGP328073 BQL328073 CAH328073 CKD328073 CTZ328073 DDV328073 DNR328073 DXN328073 EHJ328073 ERF328073 FBB328073 FKX328073 FUT328073 GEP328073 GOL328073 GYH328073 HID328073 HRZ328073 IBV328073 ILR328073 IVN328073 JFJ328073 JPF328073 JZB328073 KIX328073 KST328073 LCP328073 LML328073 LWH328073 MGD328073 MPZ328073 MZV328073 NJR328073 NTN328073 ODJ328073 ONF328073 OXB328073 PGX328073 PQT328073 QAP328073 QKL328073 QUH328073 RED328073 RNZ328073 RXV328073 SHR328073 SRN328073 TBJ328073 TLF328073 TVB328073 UEX328073 UOT328073 UYP328073 VIL328073 VSH328073 WCD328073 WLZ328073 WVV328073 N393609 JJ393609 TF393609 ADB393609 AMX393609 AWT393609 BGP393609 BQL393609 CAH393609 CKD393609 CTZ393609 DDV393609 DNR393609 DXN393609 EHJ393609 ERF393609 FBB393609 FKX393609 FUT393609 GEP393609 GOL393609 GYH393609 HID393609 HRZ393609 IBV393609 ILR393609 IVN393609 JFJ393609 JPF393609 JZB393609 KIX393609 KST393609 LCP393609 LML393609 LWH393609 MGD393609 MPZ393609 MZV393609 NJR393609 NTN393609 ODJ393609 ONF393609 OXB393609 PGX393609 PQT393609 QAP393609 QKL393609 QUH393609 RED393609 RNZ393609 RXV393609 SHR393609 SRN393609 TBJ393609 TLF393609 TVB393609 UEX393609 UOT393609 UYP393609 VIL393609 VSH393609 WCD393609 WLZ393609 WVV393609 N459145 JJ459145 TF459145 ADB459145 AMX459145 AWT459145 BGP459145 BQL459145 CAH459145 CKD459145 CTZ459145 DDV459145 DNR459145 DXN459145 EHJ459145 ERF459145 FBB459145 FKX459145 FUT459145 GEP459145 GOL459145 GYH459145 HID459145 HRZ459145 IBV459145 ILR459145 IVN459145 JFJ459145 JPF459145 JZB459145 KIX459145 KST459145 LCP459145 LML459145 LWH459145 MGD459145 MPZ459145 MZV459145 NJR459145 NTN459145 ODJ459145 ONF459145 OXB459145 PGX459145 PQT459145 QAP459145 QKL459145 QUH459145 RED459145 RNZ459145 RXV459145 SHR459145 SRN459145 TBJ459145 TLF459145 TVB459145 UEX459145 UOT459145 UYP459145 VIL459145 VSH459145 WCD459145 WLZ459145 WVV459145 N524681 JJ524681 TF524681 ADB524681 AMX524681 AWT524681 BGP524681 BQL524681 CAH524681 CKD524681 CTZ524681 DDV524681 DNR524681 DXN524681 EHJ524681 ERF524681 FBB524681 FKX524681 FUT524681 GEP524681 GOL524681 GYH524681 HID524681 HRZ524681 IBV524681 ILR524681 IVN524681 JFJ524681 JPF524681 JZB524681 KIX524681 KST524681 LCP524681 LML524681 LWH524681 MGD524681 MPZ524681 MZV524681 NJR524681 NTN524681 ODJ524681 ONF524681 OXB524681 PGX524681 PQT524681 QAP524681 QKL524681 QUH524681 RED524681 RNZ524681 RXV524681 SHR524681 SRN524681 TBJ524681 TLF524681 TVB524681 UEX524681 UOT524681 UYP524681 VIL524681 VSH524681 WCD524681 WLZ524681 WVV524681 N590217 JJ590217 TF590217 ADB590217 AMX590217 AWT590217 BGP590217 BQL590217 CAH590217 CKD590217 CTZ590217 DDV590217 DNR590217 DXN590217 EHJ590217 ERF590217 FBB590217 FKX590217 FUT590217 GEP590217 GOL590217 GYH590217 HID590217 HRZ590217 IBV590217 ILR590217 IVN590217 JFJ590217 JPF590217 JZB590217 KIX590217 KST590217 LCP590217 LML590217 LWH590217 MGD590217 MPZ590217 MZV590217 NJR590217 NTN590217 ODJ590217 ONF590217 OXB590217 PGX590217 PQT590217 QAP590217 QKL590217 QUH590217 RED590217 RNZ590217 RXV590217 SHR590217 SRN590217 TBJ590217 TLF590217 TVB590217 UEX590217 UOT590217 UYP590217 VIL590217 VSH590217 WCD590217 WLZ590217 WVV590217 N655753 JJ655753 TF655753 ADB655753 AMX655753 AWT655753 BGP655753 BQL655753 CAH655753 CKD655753 CTZ655753 DDV655753 DNR655753 DXN655753 EHJ655753 ERF655753 FBB655753 FKX655753 FUT655753 GEP655753 GOL655753 GYH655753 HID655753 HRZ655753 IBV655753 ILR655753 IVN655753 JFJ655753 JPF655753 JZB655753 KIX655753 KST655753 LCP655753 LML655753 LWH655753 MGD655753 MPZ655753 MZV655753 NJR655753 NTN655753 ODJ655753 ONF655753 OXB655753 PGX655753 PQT655753 QAP655753 QKL655753 QUH655753 RED655753 RNZ655753 RXV655753 SHR655753 SRN655753 TBJ655753 TLF655753 TVB655753 UEX655753 UOT655753 UYP655753 VIL655753 VSH655753 WCD655753 WLZ655753 WVV655753 N721289 JJ721289 TF721289 ADB721289 AMX721289 AWT721289 BGP721289 BQL721289 CAH721289 CKD721289 CTZ721289 DDV721289 DNR721289 DXN721289 EHJ721289 ERF721289 FBB721289 FKX721289 FUT721289 GEP721289 GOL721289 GYH721289 HID721289 HRZ721289 IBV721289 ILR721289 IVN721289 JFJ721289 JPF721289 JZB721289 KIX721289 KST721289 LCP721289 LML721289 LWH721289 MGD721289 MPZ721289 MZV721289 NJR721289 NTN721289 ODJ721289 ONF721289 OXB721289 PGX721289 PQT721289 QAP721289 QKL721289 QUH721289 RED721289 RNZ721289 RXV721289 SHR721289 SRN721289 TBJ721289 TLF721289 TVB721289 UEX721289 UOT721289 UYP721289 VIL721289 VSH721289 WCD721289 WLZ721289 WVV721289 N786825 JJ786825 TF786825 ADB786825 AMX786825 AWT786825 BGP786825 BQL786825 CAH786825 CKD786825 CTZ786825 DDV786825 DNR786825 DXN786825 EHJ786825 ERF786825 FBB786825 FKX786825 FUT786825 GEP786825 GOL786825 GYH786825 HID786825 HRZ786825 IBV786825 ILR786825 IVN786825 JFJ786825 JPF786825 JZB786825 KIX786825 KST786825 LCP786825 LML786825 LWH786825 MGD786825 MPZ786825 MZV786825 NJR786825 NTN786825 ODJ786825 ONF786825 OXB786825 PGX786825 PQT786825 QAP786825 QKL786825 QUH786825 RED786825 RNZ786825 RXV786825 SHR786825 SRN786825 TBJ786825 TLF786825 TVB786825 UEX786825 UOT786825 UYP786825 VIL786825 VSH786825 WCD786825 WLZ786825 WVV786825 N852361 JJ852361 TF852361 ADB852361 AMX852361 AWT852361 BGP852361 BQL852361 CAH852361 CKD852361 CTZ852361 DDV852361 DNR852361 DXN852361 EHJ852361 ERF852361 FBB852361 FKX852361 FUT852361 GEP852361 GOL852361 GYH852361 HID852361 HRZ852361 IBV852361 ILR852361 IVN852361 JFJ852361 JPF852361 JZB852361 KIX852361 KST852361 LCP852361 LML852361 LWH852361 MGD852361 MPZ852361 MZV852361 NJR852361 NTN852361 ODJ852361 ONF852361 OXB852361 PGX852361 PQT852361 QAP852361 QKL852361 QUH852361 RED852361 RNZ852361 RXV852361 SHR852361 SRN852361 TBJ852361 TLF852361 TVB852361 UEX852361 UOT852361 UYP852361 VIL852361 VSH852361 WCD852361 WLZ852361 WVV852361 N917897 JJ917897 TF917897 ADB917897 AMX917897 AWT917897 BGP917897 BQL917897 CAH917897 CKD917897 CTZ917897 DDV917897 DNR917897 DXN917897 EHJ917897 ERF917897 FBB917897 FKX917897 FUT917897 GEP917897 GOL917897 GYH917897 HID917897 HRZ917897 IBV917897 ILR917897 IVN917897 JFJ917897 JPF917897 JZB917897 KIX917897 KST917897 LCP917897 LML917897 LWH917897 MGD917897 MPZ917897 MZV917897 NJR917897 NTN917897 ODJ917897 ONF917897 OXB917897 PGX917897 PQT917897 QAP917897 QKL917897 QUH917897 RED917897 RNZ917897 RXV917897 SHR917897 SRN917897 TBJ917897 TLF917897 TVB917897 UEX917897 UOT917897 UYP917897 VIL917897 VSH917897 WCD917897 WLZ917897 WVV917897 N983433 JJ983433 TF983433 ADB983433 AMX983433 AWT983433 BGP983433 BQL983433 CAH983433 CKD983433 CTZ983433 DDV983433 DNR983433 DXN983433 EHJ983433 ERF983433 FBB983433 FKX983433 FUT983433 GEP983433 GOL983433 GYH983433 HID983433 HRZ983433 IBV983433 ILR983433 IVN983433 JFJ983433 JPF983433 JZB983433 KIX983433 KST983433 LCP983433 LML983433 LWH983433 MGD983433 MPZ983433 MZV983433 NJR983433 NTN983433 ODJ983433 ONF983433 OXB983433 PGX983433 PQT983433 QAP983433 QKL983433 QUH983433 RED983433 RNZ983433 RXV983433 SHR983433 SRN983433 TBJ983433 TLF983433 TVB983433 UEX983433 UOT983433 UYP983433 VIL983433 VSH983433 WCD983433 WLZ983433 WVV983433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57"/>
  <sheetViews>
    <sheetView showZeros="0" view="pageBreakPreview" zoomScaleNormal="100" zoomScaleSheetLayoutView="100" workbookViewId="0"/>
  </sheetViews>
  <sheetFormatPr defaultColWidth="9" defaultRowHeight="11.25"/>
  <cols>
    <col min="1" max="1" width="4.25" style="629" bestFit="1" customWidth="1"/>
    <col min="2" max="2" width="3.625" style="629" customWidth="1"/>
    <col min="3" max="3" width="15.625" style="629" customWidth="1"/>
    <col min="4" max="4" width="3.625" style="629" customWidth="1"/>
    <col min="5" max="5" width="9.625" style="632" customWidth="1"/>
    <col min="6" max="6" width="11.375" style="629" customWidth="1"/>
    <col min="7" max="7" width="9.625" style="629" customWidth="1"/>
    <col min="8" max="8" width="6.625" style="629" customWidth="1"/>
    <col min="9" max="9" width="11.625" style="631" customWidth="1"/>
    <col min="10" max="10" width="13.375" style="630" customWidth="1"/>
    <col min="11" max="11" width="10.375" style="629" customWidth="1"/>
    <col min="12" max="12" width="10.25" style="629" customWidth="1"/>
    <col min="13" max="13" width="10.375" style="629" customWidth="1"/>
    <col min="14" max="15" width="19.625" style="629" customWidth="1"/>
    <col min="16" max="16" width="6.625" style="629" customWidth="1"/>
    <col min="17" max="17" width="4" style="629" customWidth="1"/>
    <col min="18" max="18" width="9" style="629" customWidth="1"/>
    <col min="19" max="16384" width="9" style="629"/>
  </cols>
  <sheetData>
    <row r="1" spans="1:16" ht="20.100000000000001" customHeight="1">
      <c r="A1" s="635"/>
      <c r="B1" s="635"/>
      <c r="C1" s="635"/>
      <c r="D1" s="635"/>
      <c r="E1" s="636"/>
      <c r="F1" s="635"/>
      <c r="G1" s="635"/>
      <c r="H1" s="635"/>
      <c r="I1" s="691"/>
      <c r="J1" s="693"/>
      <c r="K1" s="693"/>
      <c r="L1" s="693"/>
      <c r="M1" s="692" t="s">
        <v>3598</v>
      </c>
      <c r="N1" s="1425" t="str">
        <f>cst_wskakunin_BUILD_NAME</f>
        <v xml:space="preserve"> テスト</v>
      </c>
      <c r="O1" s="1425"/>
      <c r="P1" s="1425"/>
    </row>
    <row r="2" spans="1:16" ht="20.100000000000001" customHeight="1">
      <c r="A2" s="635"/>
      <c r="B2" s="1429" t="s">
        <v>3599</v>
      </c>
      <c r="C2" s="1429"/>
      <c r="D2" s="1429"/>
      <c r="E2" s="1429"/>
      <c r="F2" s="635"/>
      <c r="G2" s="635"/>
      <c r="H2" s="635"/>
      <c r="I2" s="691"/>
      <c r="J2" s="661"/>
      <c r="K2" s="635"/>
      <c r="L2" s="635"/>
      <c r="M2" s="635"/>
      <c r="N2" s="690"/>
      <c r="O2" s="635"/>
      <c r="P2" s="689"/>
    </row>
    <row r="3" spans="1:16" ht="21" customHeight="1">
      <c r="A3" s="635"/>
      <c r="B3" s="1422" t="s">
        <v>3007</v>
      </c>
      <c r="C3" s="1422" t="s">
        <v>3600</v>
      </c>
      <c r="D3" s="1426" t="s">
        <v>3601</v>
      </c>
      <c r="E3" s="1430" t="s">
        <v>3602</v>
      </c>
      <c r="F3" s="1431"/>
      <c r="G3" s="1431"/>
      <c r="H3" s="1431"/>
      <c r="I3" s="1432"/>
      <c r="J3" s="756"/>
      <c r="K3" s="662"/>
      <c r="L3" s="756"/>
      <c r="M3" s="662"/>
      <c r="N3" s="1430" t="s">
        <v>3603</v>
      </c>
      <c r="O3" s="1432"/>
      <c r="P3" s="1426" t="s">
        <v>3604</v>
      </c>
    </row>
    <row r="4" spans="1:16" ht="39.950000000000003" customHeight="1">
      <c r="A4" s="635"/>
      <c r="B4" s="1423"/>
      <c r="C4" s="1423"/>
      <c r="D4" s="1427"/>
      <c r="E4" s="658" t="s">
        <v>3219</v>
      </c>
      <c r="F4" s="687" t="s">
        <v>3605</v>
      </c>
      <c r="G4" s="688" t="s">
        <v>3606</v>
      </c>
      <c r="H4" s="687" t="s">
        <v>3607</v>
      </c>
      <c r="I4" s="662" t="s">
        <v>3608</v>
      </c>
      <c r="J4" s="688" t="s">
        <v>3609</v>
      </c>
      <c r="K4" s="687" t="s">
        <v>3610</v>
      </c>
      <c r="L4" s="688" t="s">
        <v>3611</v>
      </c>
      <c r="M4" s="687" t="s">
        <v>3612</v>
      </c>
      <c r="N4" s="1426" t="s">
        <v>3613</v>
      </c>
      <c r="O4" s="1422" t="s">
        <v>3614</v>
      </c>
      <c r="P4" s="1427"/>
    </row>
    <row r="5" spans="1:16" ht="21" customHeight="1">
      <c r="A5" s="635"/>
      <c r="B5" s="1423"/>
      <c r="C5" s="1423"/>
      <c r="D5" s="1427"/>
      <c r="E5" s="658"/>
      <c r="F5" s="657"/>
      <c r="G5" s="635"/>
      <c r="H5" s="657"/>
      <c r="I5" s="657" t="s">
        <v>3218</v>
      </c>
      <c r="J5" s="635" t="s">
        <v>3220</v>
      </c>
      <c r="K5" s="657"/>
      <c r="L5" s="635"/>
      <c r="M5" s="657" t="s">
        <v>3615</v>
      </c>
      <c r="N5" s="1427"/>
      <c r="O5" s="1423"/>
      <c r="P5" s="1427"/>
    </row>
    <row r="6" spans="1:16" ht="21" customHeight="1">
      <c r="A6" s="635"/>
      <c r="B6" s="1423"/>
      <c r="C6" s="1423"/>
      <c r="D6" s="1427"/>
      <c r="E6" s="658" t="s">
        <v>1820</v>
      </c>
      <c r="F6" s="657" t="s">
        <v>3616</v>
      </c>
      <c r="G6" s="635" t="s">
        <v>3617</v>
      </c>
      <c r="H6" s="657" t="s">
        <v>3618</v>
      </c>
      <c r="I6" s="657" t="s">
        <v>3619</v>
      </c>
      <c r="J6" s="635"/>
      <c r="K6" s="657"/>
      <c r="L6" s="635"/>
      <c r="M6" s="657"/>
      <c r="N6" s="1427"/>
      <c r="O6" s="1423"/>
      <c r="P6" s="1427"/>
    </row>
    <row r="7" spans="1:16" ht="21" customHeight="1" thickBot="1">
      <c r="A7" s="635"/>
      <c r="B7" s="1424"/>
      <c r="C7" s="1424"/>
      <c r="D7" s="1428"/>
      <c r="E7" s="654" t="s">
        <v>3620</v>
      </c>
      <c r="F7" s="649" t="s">
        <v>3621</v>
      </c>
      <c r="G7" s="686" t="s">
        <v>3622</v>
      </c>
      <c r="H7" s="649" t="s">
        <v>3623</v>
      </c>
      <c r="I7" s="649" t="s">
        <v>3624</v>
      </c>
      <c r="J7" s="686" t="s">
        <v>3624</v>
      </c>
      <c r="K7" s="649"/>
      <c r="L7" s="655" t="s">
        <v>3623</v>
      </c>
      <c r="M7" s="685"/>
      <c r="N7" s="1428"/>
      <c r="O7" s="1424"/>
      <c r="P7" s="1428"/>
    </row>
    <row r="8" spans="1:16" ht="23.1" customHeight="1" thickTop="1">
      <c r="A8" s="635" t="s">
        <v>3625</v>
      </c>
      <c r="B8" s="648">
        <v>1</v>
      </c>
      <c r="C8" s="646" t="s">
        <v>3626</v>
      </c>
      <c r="D8" s="648" t="s">
        <v>3627</v>
      </c>
      <c r="E8" s="684">
        <v>73</v>
      </c>
      <c r="F8" s="648">
        <v>2.5</v>
      </c>
      <c r="G8" s="681">
        <f t="shared" ref="G8:G18" si="0">E8*F8</f>
        <v>182.5</v>
      </c>
      <c r="H8" s="648">
        <v>0.5</v>
      </c>
      <c r="I8" s="680">
        <f t="shared" ref="I8:I18" si="1">G8*H8</f>
        <v>91.25</v>
      </c>
      <c r="J8" s="683">
        <v>116.57</v>
      </c>
      <c r="K8" s="678" t="s">
        <v>3628</v>
      </c>
      <c r="L8" s="677">
        <f t="shared" ref="L8:L18" si="2">IF(ISBLANK(J8),"",J8/G8)</f>
        <v>0.63873972602739726</v>
      </c>
      <c r="M8" s="638" t="str">
        <f t="shared" ref="M8:M18" si="3">IF(ISBLANK(J8),"",IF(L8&gt;=H8,"OK","OUT"))</f>
        <v>OK</v>
      </c>
      <c r="N8" s="643"/>
      <c r="O8" s="648" t="s">
        <v>3629</v>
      </c>
      <c r="P8" s="637" t="s">
        <v>3627</v>
      </c>
    </row>
    <row r="9" spans="1:16" ht="23.1" customHeight="1">
      <c r="A9" s="635"/>
      <c r="B9" s="637"/>
      <c r="C9" s="637"/>
      <c r="D9" s="648"/>
      <c r="E9" s="682"/>
      <c r="F9" s="675"/>
      <c r="G9" s="681">
        <f t="shared" si="0"/>
        <v>0</v>
      </c>
      <c r="H9" s="675"/>
      <c r="I9" s="680">
        <f t="shared" si="1"/>
        <v>0</v>
      </c>
      <c r="J9" s="679"/>
      <c r="K9" s="678"/>
      <c r="L9" s="677" t="str">
        <f t="shared" si="2"/>
        <v/>
      </c>
      <c r="M9" s="638" t="str">
        <f t="shared" si="3"/>
        <v/>
      </c>
      <c r="N9" s="676"/>
      <c r="O9" s="675"/>
      <c r="P9" s="637"/>
    </row>
    <row r="10" spans="1:16" ht="23.1" customHeight="1">
      <c r="A10" s="635"/>
      <c r="B10" s="637"/>
      <c r="C10" s="637"/>
      <c r="D10" s="648"/>
      <c r="E10" s="682"/>
      <c r="F10" s="675"/>
      <c r="G10" s="681">
        <f t="shared" si="0"/>
        <v>0</v>
      </c>
      <c r="H10" s="675"/>
      <c r="I10" s="680">
        <f t="shared" si="1"/>
        <v>0</v>
      </c>
      <c r="J10" s="679"/>
      <c r="K10" s="678"/>
      <c r="L10" s="677" t="str">
        <f t="shared" si="2"/>
        <v/>
      </c>
      <c r="M10" s="638" t="str">
        <f t="shared" si="3"/>
        <v/>
      </c>
      <c r="N10" s="676"/>
      <c r="O10" s="675"/>
      <c r="P10" s="637"/>
    </row>
    <row r="11" spans="1:16" ht="23.1" customHeight="1">
      <c r="A11" s="635"/>
      <c r="B11" s="637"/>
      <c r="C11" s="637"/>
      <c r="D11" s="648"/>
      <c r="E11" s="682"/>
      <c r="F11" s="675"/>
      <c r="G11" s="681">
        <f t="shared" si="0"/>
        <v>0</v>
      </c>
      <c r="H11" s="675"/>
      <c r="I11" s="680">
        <f t="shared" si="1"/>
        <v>0</v>
      </c>
      <c r="J11" s="679"/>
      <c r="K11" s="678"/>
      <c r="L11" s="677" t="str">
        <f t="shared" si="2"/>
        <v/>
      </c>
      <c r="M11" s="638" t="str">
        <f t="shared" si="3"/>
        <v/>
      </c>
      <c r="N11" s="676"/>
      <c r="O11" s="675"/>
      <c r="P11" s="637"/>
    </row>
    <row r="12" spans="1:16" ht="23.1" customHeight="1">
      <c r="A12" s="635"/>
      <c r="B12" s="637"/>
      <c r="C12" s="637"/>
      <c r="D12" s="648"/>
      <c r="E12" s="682"/>
      <c r="F12" s="675"/>
      <c r="G12" s="681">
        <f t="shared" si="0"/>
        <v>0</v>
      </c>
      <c r="H12" s="675"/>
      <c r="I12" s="680">
        <f t="shared" si="1"/>
        <v>0</v>
      </c>
      <c r="J12" s="679"/>
      <c r="K12" s="678"/>
      <c r="L12" s="677" t="str">
        <f t="shared" si="2"/>
        <v/>
      </c>
      <c r="M12" s="638" t="str">
        <f t="shared" si="3"/>
        <v/>
      </c>
      <c r="N12" s="676"/>
      <c r="O12" s="675"/>
      <c r="P12" s="637"/>
    </row>
    <row r="13" spans="1:16" ht="23.1" customHeight="1">
      <c r="A13" s="635"/>
      <c r="B13" s="637"/>
      <c r="C13" s="637"/>
      <c r="D13" s="648"/>
      <c r="E13" s="682"/>
      <c r="F13" s="675"/>
      <c r="G13" s="681">
        <f t="shared" si="0"/>
        <v>0</v>
      </c>
      <c r="H13" s="675"/>
      <c r="I13" s="680">
        <f t="shared" si="1"/>
        <v>0</v>
      </c>
      <c r="J13" s="679"/>
      <c r="K13" s="678"/>
      <c r="L13" s="677" t="str">
        <f t="shared" si="2"/>
        <v/>
      </c>
      <c r="M13" s="638" t="str">
        <f t="shared" si="3"/>
        <v/>
      </c>
      <c r="N13" s="676"/>
      <c r="O13" s="675"/>
      <c r="P13" s="637"/>
    </row>
    <row r="14" spans="1:16" ht="23.1" customHeight="1">
      <c r="A14" s="635"/>
      <c r="B14" s="637"/>
      <c r="C14" s="637"/>
      <c r="D14" s="648"/>
      <c r="E14" s="682"/>
      <c r="F14" s="675"/>
      <c r="G14" s="681">
        <f t="shared" si="0"/>
        <v>0</v>
      </c>
      <c r="H14" s="675"/>
      <c r="I14" s="680">
        <f t="shared" si="1"/>
        <v>0</v>
      </c>
      <c r="J14" s="679"/>
      <c r="K14" s="678"/>
      <c r="L14" s="677" t="str">
        <f t="shared" si="2"/>
        <v/>
      </c>
      <c r="M14" s="638" t="str">
        <f t="shared" si="3"/>
        <v/>
      </c>
      <c r="N14" s="676"/>
      <c r="O14" s="675"/>
      <c r="P14" s="637"/>
    </row>
    <row r="15" spans="1:16" ht="23.1" customHeight="1">
      <c r="A15" s="635"/>
      <c r="B15" s="637"/>
      <c r="C15" s="637"/>
      <c r="D15" s="648"/>
      <c r="E15" s="682"/>
      <c r="F15" s="675"/>
      <c r="G15" s="681">
        <f t="shared" si="0"/>
        <v>0</v>
      </c>
      <c r="H15" s="675"/>
      <c r="I15" s="680">
        <f t="shared" si="1"/>
        <v>0</v>
      </c>
      <c r="J15" s="679"/>
      <c r="K15" s="678"/>
      <c r="L15" s="677" t="str">
        <f t="shared" si="2"/>
        <v/>
      </c>
      <c r="M15" s="638" t="str">
        <f t="shared" si="3"/>
        <v/>
      </c>
      <c r="N15" s="676"/>
      <c r="O15" s="675"/>
      <c r="P15" s="637"/>
    </row>
    <row r="16" spans="1:16" ht="23.1" customHeight="1">
      <c r="A16" s="635"/>
      <c r="B16" s="637"/>
      <c r="C16" s="637"/>
      <c r="D16" s="648"/>
      <c r="E16" s="682"/>
      <c r="F16" s="675"/>
      <c r="G16" s="681">
        <f t="shared" si="0"/>
        <v>0</v>
      </c>
      <c r="H16" s="675"/>
      <c r="I16" s="680">
        <f t="shared" si="1"/>
        <v>0</v>
      </c>
      <c r="J16" s="679"/>
      <c r="K16" s="678"/>
      <c r="L16" s="677" t="str">
        <f t="shared" si="2"/>
        <v/>
      </c>
      <c r="M16" s="638" t="str">
        <f t="shared" si="3"/>
        <v/>
      </c>
      <c r="N16" s="676"/>
      <c r="O16" s="675"/>
      <c r="P16" s="637"/>
    </row>
    <row r="17" spans="1:16" ht="23.1" customHeight="1">
      <c r="A17" s="635"/>
      <c r="B17" s="637"/>
      <c r="C17" s="637"/>
      <c r="D17" s="648"/>
      <c r="E17" s="682"/>
      <c r="F17" s="675"/>
      <c r="G17" s="681">
        <f t="shared" si="0"/>
        <v>0</v>
      </c>
      <c r="H17" s="675"/>
      <c r="I17" s="680">
        <f t="shared" si="1"/>
        <v>0</v>
      </c>
      <c r="J17" s="679"/>
      <c r="K17" s="678"/>
      <c r="L17" s="677" t="str">
        <f t="shared" si="2"/>
        <v/>
      </c>
      <c r="M17" s="638" t="str">
        <f t="shared" si="3"/>
        <v/>
      </c>
      <c r="N17" s="676"/>
      <c r="O17" s="675"/>
      <c r="P17" s="637"/>
    </row>
    <row r="18" spans="1:16" ht="23.1" customHeight="1">
      <c r="A18" s="635"/>
      <c r="B18" s="637"/>
      <c r="C18" s="637"/>
      <c r="D18" s="648"/>
      <c r="E18" s="682"/>
      <c r="F18" s="675"/>
      <c r="G18" s="681">
        <f t="shared" si="0"/>
        <v>0</v>
      </c>
      <c r="H18" s="675"/>
      <c r="I18" s="680">
        <f t="shared" si="1"/>
        <v>0</v>
      </c>
      <c r="J18" s="679"/>
      <c r="K18" s="678"/>
      <c r="L18" s="677" t="str">
        <f t="shared" si="2"/>
        <v/>
      </c>
      <c r="M18" s="638" t="str">
        <f t="shared" si="3"/>
        <v/>
      </c>
      <c r="N18" s="676"/>
      <c r="O18" s="675"/>
      <c r="P18" s="637"/>
    </row>
    <row r="19" spans="1:16" ht="20.100000000000001" customHeight="1">
      <c r="A19" s="635"/>
      <c r="B19" s="756"/>
      <c r="C19" s="756"/>
      <c r="D19" s="635"/>
      <c r="E19" s="757"/>
      <c r="F19" s="758"/>
      <c r="G19" s="667"/>
      <c r="H19" s="758"/>
      <c r="I19" s="666"/>
      <c r="J19" s="757"/>
      <c r="K19" s="665"/>
      <c r="L19" s="759"/>
      <c r="M19" s="756"/>
      <c r="N19" s="758"/>
      <c r="O19" s="758"/>
      <c r="P19" s="756"/>
    </row>
    <row r="20" spans="1:16" s="668" customFormat="1" ht="20.100000000000001" customHeight="1">
      <c r="B20" s="1409" t="s">
        <v>3630</v>
      </c>
      <c r="C20" s="1409"/>
      <c r="D20" s="1409"/>
      <c r="E20" s="1409"/>
      <c r="F20" s="672"/>
      <c r="G20" s="674"/>
      <c r="H20" s="672"/>
      <c r="I20" s="673"/>
      <c r="J20" s="674"/>
      <c r="K20" s="672"/>
      <c r="L20" s="673"/>
      <c r="M20" s="669"/>
      <c r="N20" s="672"/>
      <c r="O20" s="672"/>
      <c r="P20" s="669"/>
    </row>
    <row r="21" spans="1:16" s="668" customFormat="1" ht="20.100000000000001" customHeight="1">
      <c r="A21" s="669"/>
      <c r="B21" s="671"/>
      <c r="C21" s="670" t="s">
        <v>3631</v>
      </c>
      <c r="D21" s="670"/>
      <c r="E21" s="670"/>
      <c r="F21" s="670"/>
      <c r="G21" s="670"/>
      <c r="H21" s="670"/>
      <c r="I21" s="670"/>
      <c r="J21" s="670"/>
      <c r="K21" s="670"/>
      <c r="L21" s="670"/>
      <c r="M21" s="670"/>
      <c r="N21" s="670"/>
      <c r="O21" s="670"/>
      <c r="P21" s="669"/>
    </row>
    <row r="22" spans="1:16" s="668" customFormat="1" ht="20.100000000000001" customHeight="1">
      <c r="A22" s="669"/>
      <c r="B22" s="671"/>
      <c r="C22" s="670" t="s">
        <v>3632</v>
      </c>
      <c r="D22" s="670"/>
      <c r="E22" s="670"/>
      <c r="F22" s="670"/>
      <c r="G22" s="670"/>
      <c r="H22" s="670"/>
      <c r="I22" s="670"/>
      <c r="J22" s="670"/>
      <c r="K22" s="670"/>
      <c r="L22" s="670"/>
      <c r="M22" s="670"/>
      <c r="N22" s="670"/>
      <c r="O22" s="670"/>
      <c r="P22" s="669"/>
    </row>
    <row r="23" spans="1:16" s="668" customFormat="1" ht="20.100000000000001" customHeight="1">
      <c r="A23" s="669"/>
      <c r="B23" s="671"/>
      <c r="C23" s="670" t="s">
        <v>3633</v>
      </c>
      <c r="D23" s="670"/>
      <c r="E23" s="670"/>
      <c r="F23" s="670"/>
      <c r="G23" s="670"/>
      <c r="H23" s="670"/>
      <c r="I23" s="670"/>
      <c r="J23" s="670"/>
      <c r="K23" s="670"/>
      <c r="L23" s="670"/>
      <c r="M23" s="670"/>
      <c r="N23" s="670"/>
      <c r="O23" s="670"/>
      <c r="P23" s="669"/>
    </row>
    <row r="24" spans="1:16" ht="18" customHeight="1">
      <c r="A24" s="635"/>
      <c r="B24" s="635"/>
      <c r="C24" s="635"/>
      <c r="D24" s="635"/>
      <c r="E24" s="667"/>
      <c r="F24" s="665"/>
      <c r="G24" s="667">
        <f>E24*F24</f>
        <v>0</v>
      </c>
      <c r="H24" s="665"/>
      <c r="I24" s="666">
        <f>G24*H24</f>
        <v>0</v>
      </c>
      <c r="J24" s="667"/>
      <c r="K24" s="665"/>
      <c r="L24" s="666" t="str">
        <f>IF(ISBLANK(J24),"",J24/G24)</f>
        <v/>
      </c>
      <c r="M24" s="635" t="str">
        <f>IF(ISBLANK(J24),"",IF(L24&gt;=H24,"OK","OUT"))</f>
        <v/>
      </c>
      <c r="N24" s="665"/>
      <c r="O24" s="665"/>
      <c r="P24" s="635"/>
    </row>
    <row r="25" spans="1:16" ht="18" customHeight="1">
      <c r="A25" s="635"/>
      <c r="B25" s="1409" t="s">
        <v>3634</v>
      </c>
      <c r="C25" s="1409"/>
      <c r="D25" s="1409"/>
      <c r="E25" s="1409"/>
      <c r="F25" s="665"/>
      <c r="G25" s="667"/>
      <c r="H25" s="665"/>
      <c r="I25" s="666"/>
      <c r="J25" s="667"/>
      <c r="K25" s="665"/>
      <c r="L25" s="666"/>
      <c r="M25" s="635"/>
      <c r="N25" s="665"/>
      <c r="O25" s="665"/>
      <c r="P25" s="635"/>
    </row>
    <row r="26" spans="1:16" ht="21" customHeight="1">
      <c r="A26" s="635"/>
      <c r="B26" s="1422" t="s">
        <v>3007</v>
      </c>
      <c r="C26" s="1422" t="s">
        <v>3635</v>
      </c>
      <c r="D26" s="1410" t="s">
        <v>3636</v>
      </c>
      <c r="E26" s="1411"/>
      <c r="F26" s="1410" t="s">
        <v>3637</v>
      </c>
      <c r="G26" s="1411"/>
      <c r="H26" s="664"/>
      <c r="I26" s="1430" t="s">
        <v>3638</v>
      </c>
      <c r="J26" s="1431"/>
      <c r="K26" s="1431"/>
      <c r="L26" s="1432"/>
      <c r="M26" s="663"/>
      <c r="N26" s="1436" t="s">
        <v>3612</v>
      </c>
      <c r="O26" s="1422" t="s">
        <v>3603</v>
      </c>
      <c r="P26" s="635"/>
    </row>
    <row r="27" spans="1:16" ht="21" customHeight="1">
      <c r="A27" s="635"/>
      <c r="B27" s="1423"/>
      <c r="C27" s="1423"/>
      <c r="D27" s="1412"/>
      <c r="E27" s="1413"/>
      <c r="F27" s="1412"/>
      <c r="G27" s="1413"/>
      <c r="H27" s="657" t="s">
        <v>3639</v>
      </c>
      <c r="I27" s="662" t="s">
        <v>3640</v>
      </c>
      <c r="J27" s="661" t="s">
        <v>3641</v>
      </c>
      <c r="K27" s="660" t="s">
        <v>3642</v>
      </c>
      <c r="L27" s="760" t="s">
        <v>3608</v>
      </c>
      <c r="M27" s="659" t="s">
        <v>3643</v>
      </c>
      <c r="N27" s="1437"/>
      <c r="O27" s="1423"/>
      <c r="P27" s="635"/>
    </row>
    <row r="28" spans="1:16" ht="21" customHeight="1">
      <c r="A28" s="635"/>
      <c r="B28" s="1423"/>
      <c r="C28" s="1423"/>
      <c r="D28" s="1412"/>
      <c r="E28" s="1413"/>
      <c r="F28" s="1412"/>
      <c r="G28" s="1413"/>
      <c r="H28" s="657"/>
      <c r="I28" s="657"/>
      <c r="J28" s="635"/>
      <c r="K28" s="657"/>
      <c r="L28" s="635" t="s">
        <v>3218</v>
      </c>
      <c r="M28" s="657" t="s">
        <v>3220</v>
      </c>
      <c r="N28" s="657" t="s">
        <v>3615</v>
      </c>
      <c r="O28" s="1423"/>
      <c r="P28" s="656"/>
    </row>
    <row r="29" spans="1:16" ht="21" customHeight="1" thickBot="1">
      <c r="A29" s="635"/>
      <c r="B29" s="1424"/>
      <c r="C29" s="1424"/>
      <c r="D29" s="1414"/>
      <c r="E29" s="1415"/>
      <c r="F29" s="1414"/>
      <c r="G29" s="1415"/>
      <c r="H29" s="649" t="s">
        <v>3644</v>
      </c>
      <c r="I29" s="653" t="s">
        <v>3645</v>
      </c>
      <c r="J29" s="635" t="s">
        <v>3646</v>
      </c>
      <c r="K29" s="653" t="s">
        <v>3647</v>
      </c>
      <c r="L29" s="652" t="s">
        <v>3648</v>
      </c>
      <c r="M29" s="651" t="s">
        <v>3649</v>
      </c>
      <c r="N29" s="650"/>
      <c r="O29" s="1424"/>
      <c r="P29" s="635"/>
    </row>
    <row r="30" spans="1:16" ht="23.1" customHeight="1" thickTop="1">
      <c r="A30" s="635" t="s">
        <v>3650</v>
      </c>
      <c r="B30" s="648">
        <v>1</v>
      </c>
      <c r="C30" s="648" t="s">
        <v>3651</v>
      </c>
      <c r="D30" s="1416" t="s">
        <v>3652</v>
      </c>
      <c r="E30" s="1417"/>
      <c r="F30" s="1416" t="s">
        <v>3653</v>
      </c>
      <c r="G30" s="1417"/>
      <c r="H30" s="647">
        <v>1</v>
      </c>
      <c r="I30" s="646">
        <v>30</v>
      </c>
      <c r="J30" s="645">
        <v>0.93</v>
      </c>
      <c r="K30" s="644">
        <v>11.2</v>
      </c>
      <c r="L30" s="640">
        <f>I30*J30*K30</f>
        <v>312.48</v>
      </c>
      <c r="M30" s="637">
        <v>420</v>
      </c>
      <c r="N30" s="638" t="str">
        <f>IF(ISBLANK(M30),"",IF(M30&gt;=L30,"OK","OUT"))</f>
        <v>OK</v>
      </c>
      <c r="O30" s="637" t="s">
        <v>3654</v>
      </c>
      <c r="P30" s="635"/>
    </row>
    <row r="31" spans="1:16" ht="23.1" customHeight="1">
      <c r="A31" s="635"/>
      <c r="B31" s="637"/>
      <c r="C31" s="637"/>
      <c r="D31" s="1418"/>
      <c r="E31" s="1419"/>
      <c r="F31" s="1418"/>
      <c r="G31" s="1419"/>
      <c r="H31" s="639"/>
      <c r="I31" s="639"/>
      <c r="J31" s="642"/>
      <c r="K31" s="641"/>
      <c r="L31" s="640">
        <f>I31*J31*K31</f>
        <v>0</v>
      </c>
      <c r="M31" s="639"/>
      <c r="N31" s="638" t="str">
        <f>IF(ISBLANK(M31),"",IF(M31&gt;=L31,"OK","OUT"))</f>
        <v/>
      </c>
      <c r="O31" s="637"/>
      <c r="P31" s="635"/>
    </row>
    <row r="32" spans="1:16" ht="23.1" customHeight="1">
      <c r="A32" s="635"/>
      <c r="B32" s="637"/>
      <c r="C32" s="637"/>
      <c r="D32" s="1420"/>
      <c r="E32" s="1421"/>
      <c r="F32" s="1420"/>
      <c r="G32" s="1421"/>
      <c r="H32" s="639"/>
      <c r="I32" s="639"/>
      <c r="J32" s="642"/>
      <c r="K32" s="641"/>
      <c r="L32" s="640">
        <f>I32*J32*K32</f>
        <v>0</v>
      </c>
      <c r="M32" s="639"/>
      <c r="N32" s="638" t="str">
        <f>IF(ISBLANK(M32),"",IF(M32&gt;=L32,"OK","OUT"))</f>
        <v/>
      </c>
      <c r="O32" s="637"/>
      <c r="P32" s="635"/>
    </row>
    <row r="33" spans="1:16" ht="23.1" customHeight="1">
      <c r="A33" s="635"/>
      <c r="B33" s="637"/>
      <c r="C33" s="637"/>
      <c r="D33" s="1420"/>
      <c r="E33" s="1421"/>
      <c r="F33" s="1420"/>
      <c r="G33" s="1421"/>
      <c r="H33" s="639"/>
      <c r="I33" s="639"/>
      <c r="J33" s="642"/>
      <c r="K33" s="641"/>
      <c r="L33" s="640">
        <f>I33*J33*K33</f>
        <v>0</v>
      </c>
      <c r="M33" s="639"/>
      <c r="N33" s="638" t="str">
        <f>IF(ISBLANK(M33),"",IF(M33&gt;=L33,"OK","OUT"))</f>
        <v/>
      </c>
      <c r="O33" s="637"/>
      <c r="P33" s="635"/>
    </row>
    <row r="34" spans="1:16" ht="23.1" customHeight="1">
      <c r="A34" s="635"/>
      <c r="B34" s="637"/>
      <c r="C34" s="637"/>
      <c r="D34" s="1434"/>
      <c r="E34" s="1435"/>
      <c r="F34" s="1434"/>
      <c r="G34" s="1435"/>
      <c r="H34" s="639"/>
      <c r="I34" s="639"/>
      <c r="J34" s="642"/>
      <c r="K34" s="641"/>
      <c r="L34" s="640">
        <f>I34*J34*K34</f>
        <v>0</v>
      </c>
      <c r="M34" s="639"/>
      <c r="N34" s="638" t="str">
        <f>IF(ISBLANK(M34),"",IF(M34&gt;=L34,"OK","OUT"))</f>
        <v/>
      </c>
      <c r="O34" s="637"/>
      <c r="P34" s="635"/>
    </row>
    <row r="35" spans="1:16" ht="30" customHeight="1">
      <c r="A35" s="635"/>
      <c r="B35" s="635"/>
      <c r="C35" s="635"/>
      <c r="D35" s="635"/>
      <c r="E35" s="636"/>
      <c r="F35" s="635"/>
      <c r="G35" s="635"/>
      <c r="H35" s="635"/>
      <c r="I35" s="761"/>
      <c r="J35" s="762"/>
      <c r="K35" s="763"/>
      <c r="L35" s="763"/>
      <c r="M35" s="634" t="s">
        <v>3655</v>
      </c>
      <c r="N35" s="1433" t="str">
        <f>cst_wskakunin_sekkei1_jimuname_name</f>
        <v xml:space="preserve"> </v>
      </c>
      <c r="O35" s="1433"/>
      <c r="P35" s="633"/>
    </row>
    <row r="36" spans="1:16" ht="20.100000000000001" customHeight="1">
      <c r="O36" s="764"/>
      <c r="P36" s="764"/>
    </row>
    <row r="37" spans="1:16" ht="20.100000000000001" customHeight="1"/>
    <row r="38" spans="1:16" ht="20.100000000000001" customHeight="1"/>
    <row r="39" spans="1:16" ht="20.100000000000001" customHeight="1"/>
    <row r="40" spans="1:16" ht="20.100000000000001" customHeight="1"/>
    <row r="41" spans="1:16" ht="20.100000000000001" customHeight="1"/>
    <row r="42" spans="1:16" ht="20.100000000000001" customHeight="1"/>
    <row r="43" spans="1:16" ht="20.100000000000001" customHeight="1"/>
    <row r="44" spans="1:16" ht="20.100000000000001" customHeight="1"/>
    <row r="45" spans="1:16" ht="20.100000000000001" customHeight="1"/>
    <row r="46" spans="1:16" ht="20.100000000000001" customHeight="1"/>
    <row r="47" spans="1:16" ht="20.100000000000001" customHeight="1"/>
    <row r="48" spans="1: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sheetData>
  <mergeCells count="30">
    <mergeCell ref="N35:O35"/>
    <mergeCell ref="D34:E34"/>
    <mergeCell ref="F34:G34"/>
    <mergeCell ref="F33:G33"/>
    <mergeCell ref="N26:N27"/>
    <mergeCell ref="I26:L26"/>
    <mergeCell ref="O26:O29"/>
    <mergeCell ref="D33:E33"/>
    <mergeCell ref="N1:P1"/>
    <mergeCell ref="B3:B7"/>
    <mergeCell ref="C3:C7"/>
    <mergeCell ref="D3:D7"/>
    <mergeCell ref="N4:N7"/>
    <mergeCell ref="O4:O7"/>
    <mergeCell ref="P3:P7"/>
    <mergeCell ref="B2:E2"/>
    <mergeCell ref="E3:I3"/>
    <mergeCell ref="N3:O3"/>
    <mergeCell ref="B20:E20"/>
    <mergeCell ref="F26:G29"/>
    <mergeCell ref="F30:G30"/>
    <mergeCell ref="F31:G31"/>
    <mergeCell ref="F32:G32"/>
    <mergeCell ref="D30:E30"/>
    <mergeCell ref="D31:E31"/>
    <mergeCell ref="D32:E32"/>
    <mergeCell ref="C26:C29"/>
    <mergeCell ref="B26:B29"/>
    <mergeCell ref="D26:E29"/>
    <mergeCell ref="B25:E25"/>
  </mergeCells>
  <phoneticPr fontId="116"/>
  <dataValidations count="2">
    <dataValidation type="list" allowBlank="1" showInputMessage="1" showErrorMessage="1" sqref="D8:D19 D24 P8:P25" xr:uid="{00000000-0002-0000-1A00-000000000000}">
      <formula1>"○"</formula1>
    </dataValidation>
    <dataValidation type="list" allowBlank="1" showInputMessage="1" showErrorMessage="1" sqref="K8:K20 K24:K25" xr:uid="{00000000-0002-0000-1A00-000001000000}">
      <formula1>"第1種,第2種,第3種"</formula1>
    </dataValidation>
  </dataValidations>
  <printOptions horizontalCentered="1" verticalCentered="1"/>
  <pageMargins left="0.23622047244094491" right="0" top="0.74803149606299213" bottom="0.74803149606299213" header="0.31496062992125984" footer="0.31496062992125984"/>
  <pageSetup paperSize="8" scale="97"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ltText="">
                <anchor moveWithCells="1">
                  <from>
                    <xdr:col>0</xdr:col>
                    <xdr:colOff>314325</xdr:colOff>
                    <xdr:row>20</xdr:row>
                    <xdr:rowOff>0</xdr:rowOff>
                  </from>
                  <to>
                    <xdr:col>2</xdr:col>
                    <xdr:colOff>19050</xdr:colOff>
                    <xdr:row>21</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ltText="">
                <anchor moveWithCells="1">
                  <from>
                    <xdr:col>0</xdr:col>
                    <xdr:colOff>314325</xdr:colOff>
                    <xdr:row>21</xdr:row>
                    <xdr:rowOff>9525</xdr:rowOff>
                  </from>
                  <to>
                    <xdr:col>2</xdr:col>
                    <xdr:colOff>19050</xdr:colOff>
                    <xdr:row>22</xdr:row>
                    <xdr:rowOff>9525</xdr:rowOff>
                  </to>
                </anchor>
              </controlPr>
            </control>
          </mc:Choice>
        </mc:AlternateContent>
        <mc:AlternateContent xmlns:mc="http://schemas.openxmlformats.org/markup-compatibility/2006">
          <mc:Choice Requires="x14">
            <control shapeId="77827" r:id="rId6" name="Check Box 3">
              <controlPr defaultSize="0" autoFill="0" autoLine="0" autoPict="0" altText="">
                <anchor moveWithCells="1">
                  <from>
                    <xdr:col>0</xdr:col>
                    <xdr:colOff>314325</xdr:colOff>
                    <xdr:row>22</xdr:row>
                    <xdr:rowOff>9525</xdr:rowOff>
                  </from>
                  <to>
                    <xdr:col>2</xdr:col>
                    <xdr:colOff>19050</xdr:colOff>
                    <xdr:row>23</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7"/>
  <sheetViews>
    <sheetView view="pageBreakPreview" zoomScale="115" zoomScaleNormal="100" zoomScaleSheetLayoutView="115" workbookViewId="0"/>
  </sheetViews>
  <sheetFormatPr defaultColWidth="9.125" defaultRowHeight="13.5"/>
  <cols>
    <col min="1" max="1" width="2.75" customWidth="1"/>
    <col min="2" max="2" width="8.375" customWidth="1"/>
    <col min="3" max="3" width="18.25" customWidth="1"/>
    <col min="4" max="4" width="30.125" customWidth="1"/>
    <col min="5" max="5" width="24.25" customWidth="1"/>
    <col min="6" max="6" width="4.25" customWidth="1"/>
  </cols>
  <sheetData>
    <row r="1" spans="1:6" ht="14.25" customHeight="1" thickBot="1">
      <c r="A1" s="1438" t="s">
        <v>3656</v>
      </c>
      <c r="B1" s="1438"/>
      <c r="C1" s="1438"/>
      <c r="D1" s="1438"/>
      <c r="E1" s="1438"/>
      <c r="F1" s="1438"/>
    </row>
    <row r="2" spans="1:6" ht="13.5" customHeight="1">
      <c r="A2" s="1439" t="s">
        <v>3657</v>
      </c>
      <c r="B2" s="1440"/>
      <c r="C2" s="1440"/>
      <c r="D2" s="1440"/>
      <c r="E2" s="1440"/>
      <c r="F2" s="1441"/>
    </row>
    <row r="3" spans="1:6" ht="25.5" customHeight="1">
      <c r="A3" s="1442" t="s">
        <v>3658</v>
      </c>
      <c r="B3" s="1443"/>
      <c r="C3" s="1443"/>
      <c r="D3" s="1443"/>
      <c r="E3" s="1443"/>
      <c r="F3" s="1444"/>
    </row>
    <row r="4" spans="1:6">
      <c r="A4" s="718"/>
      <c r="C4" s="713"/>
      <c r="D4" s="713"/>
      <c r="E4" s="1449" t="s">
        <v>3659</v>
      </c>
      <c r="F4" s="1446"/>
    </row>
    <row r="5" spans="1:6" ht="13.5" customHeight="1">
      <c r="A5" s="1450" t="s">
        <v>3660</v>
      </c>
      <c r="B5" s="1445"/>
      <c r="C5" s="1445"/>
      <c r="D5" s="1445"/>
      <c r="E5" s="1445"/>
      <c r="F5" s="1446"/>
    </row>
    <row r="6" spans="1:6" ht="13.5" customHeight="1">
      <c r="A6" s="1450" t="s">
        <v>3661</v>
      </c>
      <c r="B6" s="1445"/>
      <c r="C6" s="1445"/>
      <c r="D6" s="1445"/>
      <c r="E6" s="1445"/>
      <c r="F6" s="1446"/>
    </row>
    <row r="7" spans="1:6" ht="13.5" customHeight="1">
      <c r="A7" s="1450" t="s">
        <v>3662</v>
      </c>
      <c r="B7" s="1445"/>
      <c r="C7" s="1445"/>
      <c r="D7" s="1445"/>
      <c r="E7" s="1445"/>
      <c r="F7" s="1446"/>
    </row>
    <row r="8" spans="1:6" ht="13.5" customHeight="1">
      <c r="A8" s="719"/>
      <c r="B8" s="720"/>
      <c r="C8" s="721"/>
      <c r="D8" s="1445" t="s">
        <v>3663</v>
      </c>
      <c r="E8" s="1445"/>
      <c r="F8" s="1446"/>
    </row>
    <row r="9" spans="1:6" ht="13.5" customHeight="1">
      <c r="A9" s="1450" t="s">
        <v>3664</v>
      </c>
      <c r="B9" s="1445"/>
      <c r="C9" s="1445"/>
      <c r="D9" s="1445"/>
      <c r="E9" s="1445"/>
      <c r="F9" s="1446"/>
    </row>
    <row r="10" spans="1:6" ht="14.25" customHeight="1" thickBot="1">
      <c r="A10" s="1451" t="s">
        <v>3665</v>
      </c>
      <c r="B10" s="1452"/>
      <c r="C10" s="1452"/>
      <c r="D10" s="1452"/>
      <c r="E10" s="1452"/>
      <c r="F10" s="1453"/>
    </row>
    <row r="11" spans="1:6" ht="18" customHeight="1" thickBot="1">
      <c r="A11" s="718"/>
      <c r="B11" s="1447" t="s">
        <v>3666</v>
      </c>
      <c r="C11" s="1448"/>
      <c r="D11" s="1461"/>
      <c r="E11" s="1462"/>
      <c r="F11" s="1454"/>
    </row>
    <row r="12" spans="1:6" ht="18" customHeight="1" thickBot="1">
      <c r="A12" s="718"/>
      <c r="B12" s="1447" t="s">
        <v>3667</v>
      </c>
      <c r="C12" s="1448"/>
      <c r="D12" s="1463"/>
      <c r="E12" s="1464"/>
      <c r="F12" s="1454"/>
    </row>
    <row r="13" spans="1:6" ht="18" customHeight="1" thickBot="1">
      <c r="A13" s="718"/>
      <c r="B13" s="1447"/>
      <c r="C13" s="1448"/>
      <c r="D13" s="1459"/>
      <c r="E13" s="1460"/>
      <c r="F13" s="1454"/>
    </row>
    <row r="14" spans="1:6" ht="18" customHeight="1" thickBot="1">
      <c r="A14" s="718"/>
      <c r="B14" s="1447" t="s">
        <v>1989</v>
      </c>
      <c r="C14" s="1448"/>
      <c r="D14" s="1461" t="s">
        <v>3668</v>
      </c>
      <c r="E14" s="1462"/>
      <c r="F14" s="1454"/>
    </row>
    <row r="15" spans="1:6" ht="18" customHeight="1" thickBot="1">
      <c r="A15" s="718"/>
      <c r="B15" s="1447" t="s">
        <v>2097</v>
      </c>
      <c r="C15" s="1448"/>
      <c r="D15" s="1461" t="s">
        <v>3668</v>
      </c>
      <c r="E15" s="1462"/>
      <c r="F15" s="1454"/>
    </row>
    <row r="16" spans="1:6" ht="18.75" customHeight="1" thickBot="1">
      <c r="A16" s="718"/>
      <c r="B16" s="1447" t="s">
        <v>1912</v>
      </c>
      <c r="C16" s="1448"/>
      <c r="D16" s="1463" t="s">
        <v>3669</v>
      </c>
      <c r="E16" s="1464"/>
      <c r="F16" s="1454"/>
    </row>
    <row r="17" spans="1:6" ht="21.75" customHeight="1" thickBot="1">
      <c r="A17" s="718"/>
      <c r="B17" s="1447"/>
      <c r="C17" s="1448"/>
      <c r="D17" s="1459" t="s">
        <v>3670</v>
      </c>
      <c r="E17" s="1460"/>
      <c r="F17" s="1454"/>
    </row>
    <row r="18" spans="1:6" ht="18" customHeight="1" thickBot="1">
      <c r="A18" s="718"/>
      <c r="B18" s="1447" t="s">
        <v>3449</v>
      </c>
      <c r="C18" s="1448"/>
      <c r="D18" s="1461" t="s">
        <v>3671</v>
      </c>
      <c r="E18" s="1462"/>
      <c r="F18" s="1454"/>
    </row>
    <row r="19" spans="1:6" ht="18" customHeight="1" thickBot="1">
      <c r="A19" s="718"/>
      <c r="B19" s="1447" t="s">
        <v>1695</v>
      </c>
      <c r="C19" s="1448"/>
      <c r="D19" s="1461" t="s">
        <v>3672</v>
      </c>
      <c r="E19" s="1462"/>
      <c r="F19" s="1454"/>
    </row>
    <row r="20" spans="1:6" ht="25.5" customHeight="1" thickBot="1">
      <c r="A20" s="718"/>
      <c r="B20" s="1447" t="s">
        <v>3673</v>
      </c>
      <c r="C20" s="1448"/>
      <c r="D20" s="1457" t="s">
        <v>3674</v>
      </c>
      <c r="E20" s="1458"/>
      <c r="F20" s="1454"/>
    </row>
    <row r="21" spans="1:6" ht="21.75" customHeight="1" thickBot="1">
      <c r="A21" s="718"/>
      <c r="B21" s="1447"/>
      <c r="C21" s="1448"/>
      <c r="D21" s="1442" t="s">
        <v>3675</v>
      </c>
      <c r="E21" s="1444"/>
      <c r="F21" s="1454"/>
    </row>
    <row r="22" spans="1:6" ht="21.75" customHeight="1" thickBot="1">
      <c r="A22" s="718"/>
      <c r="B22" s="1447"/>
      <c r="C22" s="1448"/>
      <c r="D22" s="1442" t="s">
        <v>3676</v>
      </c>
      <c r="E22" s="1444"/>
      <c r="F22" s="1454"/>
    </row>
    <row r="23" spans="1:6" ht="21.75" customHeight="1" thickBot="1">
      <c r="A23" s="718"/>
      <c r="B23" s="1447"/>
      <c r="C23" s="1448"/>
      <c r="D23" s="1455" t="s">
        <v>3677</v>
      </c>
      <c r="E23" s="1456"/>
      <c r="F23" s="1454"/>
    </row>
    <row r="24" spans="1:6" ht="28.5" customHeight="1" thickBot="1">
      <c r="A24" s="718"/>
      <c r="B24" s="1447" t="s">
        <v>3678</v>
      </c>
      <c r="C24" s="1448"/>
      <c r="D24" s="1457" t="s">
        <v>3679</v>
      </c>
      <c r="E24" s="1458"/>
      <c r="F24" s="1454"/>
    </row>
    <row r="25" spans="1:6" ht="21.75" customHeight="1" thickBot="1">
      <c r="A25" s="718"/>
      <c r="B25" s="1447"/>
      <c r="C25" s="1448"/>
      <c r="D25" s="1442" t="s">
        <v>3680</v>
      </c>
      <c r="E25" s="1444"/>
      <c r="F25" s="1454"/>
    </row>
    <row r="26" spans="1:6" ht="21.75" customHeight="1" thickBot="1">
      <c r="A26" s="718"/>
      <c r="B26" s="1447"/>
      <c r="C26" s="1448"/>
      <c r="D26" s="1442" t="s">
        <v>3681</v>
      </c>
      <c r="E26" s="1444"/>
      <c r="F26" s="1454"/>
    </row>
    <row r="27" spans="1:6" ht="21.75" customHeight="1" thickBot="1">
      <c r="A27" s="718"/>
      <c r="B27" s="1447"/>
      <c r="C27" s="1448"/>
      <c r="D27" s="1442" t="s">
        <v>3682</v>
      </c>
      <c r="E27" s="1444"/>
      <c r="F27" s="1454"/>
    </row>
    <row r="28" spans="1:6" ht="21.75" customHeight="1" thickBot="1">
      <c r="A28" s="718"/>
      <c r="B28" s="1447"/>
      <c r="C28" s="1448"/>
      <c r="D28" s="1442" t="s">
        <v>3683</v>
      </c>
      <c r="E28" s="1444"/>
      <c r="F28" s="1454"/>
    </row>
    <row r="29" spans="1:6" ht="21.75" customHeight="1" thickBot="1">
      <c r="A29" s="718"/>
      <c r="B29" s="1447"/>
      <c r="C29" s="1448"/>
      <c r="D29" s="1455" t="s">
        <v>3684</v>
      </c>
      <c r="E29" s="1456"/>
      <c r="F29" s="1454"/>
    </row>
    <row r="30" spans="1:6" ht="13.5" customHeight="1" thickBot="1">
      <c r="A30" s="718"/>
      <c r="B30" s="1447" t="s">
        <v>3685</v>
      </c>
      <c r="C30" s="1448"/>
      <c r="D30" s="1457" t="s">
        <v>3686</v>
      </c>
      <c r="E30" s="1458"/>
      <c r="F30" s="1454"/>
    </row>
    <row r="31" spans="1:6" ht="22.5" customHeight="1" thickBot="1">
      <c r="A31" s="718"/>
      <c r="B31" s="1447"/>
      <c r="C31" s="1448"/>
      <c r="D31" s="1455" t="s">
        <v>3687</v>
      </c>
      <c r="E31" s="1456"/>
      <c r="F31" s="1454"/>
    </row>
    <row r="32" spans="1:6" ht="18.75" customHeight="1" thickBot="1">
      <c r="A32" s="718"/>
      <c r="B32" s="1447" t="s">
        <v>3688</v>
      </c>
      <c r="C32" s="1448"/>
      <c r="D32" s="1457" t="s">
        <v>3689</v>
      </c>
      <c r="E32" s="1458"/>
      <c r="F32" s="1454"/>
    </row>
    <row r="33" spans="1:6" ht="21" customHeight="1" thickBot="1">
      <c r="A33" s="718"/>
      <c r="B33" s="1447"/>
      <c r="C33" s="1448"/>
      <c r="D33" s="1442" t="s">
        <v>3690</v>
      </c>
      <c r="E33" s="1444"/>
      <c r="F33" s="1454"/>
    </row>
    <row r="34" spans="1:6" ht="22.5" customHeight="1" thickBot="1">
      <c r="A34" s="718"/>
      <c r="B34" s="1447"/>
      <c r="C34" s="1448"/>
      <c r="D34" s="1455" t="s">
        <v>3691</v>
      </c>
      <c r="E34" s="1456"/>
      <c r="F34" s="1454"/>
    </row>
    <row r="35" spans="1:6" ht="22.5" customHeight="1" thickBot="1">
      <c r="A35" s="718"/>
      <c r="B35" s="1447" t="s">
        <v>2</v>
      </c>
      <c r="C35" s="1448"/>
      <c r="D35" s="1469"/>
      <c r="E35" s="1470"/>
      <c r="F35" s="1454"/>
    </row>
    <row r="36" spans="1:6" ht="13.5" customHeight="1">
      <c r="A36" s="1465" t="s">
        <v>3692</v>
      </c>
      <c r="B36" s="1466"/>
      <c r="C36" s="1467" t="s">
        <v>3693</v>
      </c>
      <c r="D36" s="1467"/>
      <c r="E36" s="1467"/>
      <c r="F36" s="1468"/>
    </row>
    <row r="37" spans="1:6" ht="17.25" customHeight="1">
      <c r="A37" s="711"/>
      <c r="B37" s="712"/>
      <c r="C37" s="1443" t="s">
        <v>3694</v>
      </c>
      <c r="D37" s="1443"/>
      <c r="E37" s="1443"/>
      <c r="F37" s="1444"/>
    </row>
    <row r="38" spans="1:6" ht="45.75" customHeight="1">
      <c r="A38" s="711"/>
      <c r="B38" s="712"/>
      <c r="C38" s="1443" t="s">
        <v>3695</v>
      </c>
      <c r="D38" s="1443"/>
      <c r="E38" s="1443"/>
      <c r="F38" s="1444"/>
    </row>
    <row r="39" spans="1:6" ht="18" customHeight="1">
      <c r="A39" s="711"/>
      <c r="B39" s="712"/>
      <c r="C39" s="1443" t="s">
        <v>3696</v>
      </c>
      <c r="D39" s="1443"/>
      <c r="E39" s="1443"/>
      <c r="F39" s="1444"/>
    </row>
    <row r="40" spans="1:6" ht="37.5" customHeight="1">
      <c r="A40" s="711"/>
      <c r="B40" s="712"/>
      <c r="C40" s="1443" t="s">
        <v>3697</v>
      </c>
      <c r="D40" s="1443"/>
      <c r="E40" s="1443"/>
      <c r="F40" s="1444"/>
    </row>
    <row r="41" spans="1:6" ht="37.5" customHeight="1">
      <c r="A41" s="711"/>
      <c r="B41" s="712"/>
      <c r="C41" s="1443" t="s">
        <v>3698</v>
      </c>
      <c r="D41" s="1443"/>
      <c r="E41" s="1443"/>
      <c r="F41" s="1444"/>
    </row>
    <row r="42" spans="1:6" ht="48" customHeight="1">
      <c r="A42" s="711"/>
      <c r="B42" s="712"/>
      <c r="C42" s="1443" t="s">
        <v>3699</v>
      </c>
      <c r="D42" s="1443"/>
      <c r="E42" s="1443"/>
      <c r="F42" s="1444"/>
    </row>
    <row r="43" spans="1:6" ht="37.5" customHeight="1">
      <c r="A43" s="711"/>
      <c r="B43" s="712"/>
      <c r="C43" s="1443" t="s">
        <v>3700</v>
      </c>
      <c r="D43" s="1443"/>
      <c r="E43" s="1443"/>
      <c r="F43" s="1444"/>
    </row>
    <row r="44" spans="1:6" ht="32.25" customHeight="1">
      <c r="A44" s="711"/>
      <c r="B44" s="712"/>
      <c r="C44" s="1443" t="s">
        <v>3701</v>
      </c>
      <c r="D44" s="1443"/>
      <c r="E44" s="1443"/>
      <c r="F44" s="1444"/>
    </row>
    <row r="45" spans="1:6" ht="32.25" customHeight="1">
      <c r="A45" s="711"/>
      <c r="B45" s="712"/>
      <c r="C45" s="1443" t="s">
        <v>3702</v>
      </c>
      <c r="D45" s="1443"/>
      <c r="E45" s="1443"/>
      <c r="F45" s="1444"/>
    </row>
    <row r="46" spans="1:6" ht="31.5" customHeight="1">
      <c r="A46" s="711"/>
      <c r="B46" s="712"/>
      <c r="C46" s="1443" t="s">
        <v>3703</v>
      </c>
      <c r="D46" s="1443"/>
      <c r="E46" s="1443"/>
      <c r="F46" s="1444"/>
    </row>
    <row r="47" spans="1:6" ht="32.25" customHeight="1" thickBot="1">
      <c r="A47" s="709"/>
      <c r="B47" s="710"/>
      <c r="C47" s="1438" t="s">
        <v>3704</v>
      </c>
      <c r="D47" s="1438"/>
      <c r="E47" s="1438"/>
      <c r="F47" s="1456"/>
    </row>
  </sheetData>
  <mergeCells count="61">
    <mergeCell ref="C47:F47"/>
    <mergeCell ref="B32:C34"/>
    <mergeCell ref="B35:C35"/>
    <mergeCell ref="C38:F38"/>
    <mergeCell ref="C39:F39"/>
    <mergeCell ref="C41:F41"/>
    <mergeCell ref="A36:B36"/>
    <mergeCell ref="C36:F36"/>
    <mergeCell ref="C37:F37"/>
    <mergeCell ref="D35:E35"/>
    <mergeCell ref="D32:E32"/>
    <mergeCell ref="C42:F42"/>
    <mergeCell ref="C43:F43"/>
    <mergeCell ref="D21:E21"/>
    <mergeCell ref="D22:E22"/>
    <mergeCell ref="C44:F44"/>
    <mergeCell ref="C45:F45"/>
    <mergeCell ref="C46:F46"/>
    <mergeCell ref="B12:C13"/>
    <mergeCell ref="B18:C18"/>
    <mergeCell ref="D18:E18"/>
    <mergeCell ref="D19:E19"/>
    <mergeCell ref="D20:E20"/>
    <mergeCell ref="B14:C14"/>
    <mergeCell ref="D13:E13"/>
    <mergeCell ref="D11:E11"/>
    <mergeCell ref="D12:E12"/>
    <mergeCell ref="D14:E14"/>
    <mergeCell ref="D15:E15"/>
    <mergeCell ref="D25:E25"/>
    <mergeCell ref="B16:C17"/>
    <mergeCell ref="B15:C15"/>
    <mergeCell ref="B19:C19"/>
    <mergeCell ref="C40:F40"/>
    <mergeCell ref="D27:E27"/>
    <mergeCell ref="D28:E28"/>
    <mergeCell ref="D29:E29"/>
    <mergeCell ref="D30:E30"/>
    <mergeCell ref="B24:C29"/>
    <mergeCell ref="D31:E31"/>
    <mergeCell ref="D33:E33"/>
    <mergeCell ref="D34:E34"/>
    <mergeCell ref="B20:C23"/>
    <mergeCell ref="D16:E16"/>
    <mergeCell ref="D17:E17"/>
    <mergeCell ref="A1:F1"/>
    <mergeCell ref="A2:F2"/>
    <mergeCell ref="A3:F3"/>
    <mergeCell ref="D8:F8"/>
    <mergeCell ref="B11:C11"/>
    <mergeCell ref="E4:F4"/>
    <mergeCell ref="A5:F5"/>
    <mergeCell ref="A6:F6"/>
    <mergeCell ref="A7:F7"/>
    <mergeCell ref="A9:F9"/>
    <mergeCell ref="A10:F10"/>
    <mergeCell ref="F11:F35"/>
    <mergeCell ref="B30:C31"/>
    <mergeCell ref="D26:E26"/>
    <mergeCell ref="D23:E23"/>
    <mergeCell ref="D24:E24"/>
  </mergeCells>
  <phoneticPr fontId="116"/>
  <pageMargins left="0.70866141732283472" right="0.70866141732283472" top="0.74803149606299213" bottom="0.74803149606299213" header="0.31496062992125984" footer="0.31496062992125984"/>
  <pageSetup paperSize="9" orientation="portrait" blackAndWhite="1"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99"/>
  <sheetViews>
    <sheetView view="pageBreakPreview" zoomScale="115" zoomScaleNormal="100" zoomScaleSheetLayoutView="115" workbookViewId="0"/>
  </sheetViews>
  <sheetFormatPr defaultColWidth="9" defaultRowHeight="12.75"/>
  <cols>
    <col min="1" max="1" width="13.375" style="694" customWidth="1"/>
    <col min="2" max="2" width="16.375" style="694" customWidth="1"/>
    <col min="3" max="3" width="32.875" style="694" customWidth="1"/>
    <col min="4" max="4" width="34" style="694" customWidth="1"/>
    <col min="5" max="5" width="16.125" style="694" customWidth="1"/>
    <col min="6" max="6" width="9" style="694" customWidth="1"/>
    <col min="7" max="16384" width="9" style="694"/>
  </cols>
  <sheetData>
    <row r="1" spans="1:5" ht="24">
      <c r="A1" s="1522" t="s">
        <v>3705</v>
      </c>
      <c r="B1" s="1522"/>
      <c r="C1" s="1522"/>
      <c r="D1" s="1522"/>
      <c r="E1" s="1522"/>
    </row>
    <row r="2" spans="1:5" ht="25.5" customHeight="1">
      <c r="A2" s="707" t="s">
        <v>3706</v>
      </c>
      <c r="B2" s="1523" t="str">
        <f>cst_wskakunin_owner1__space</f>
        <v/>
      </c>
      <c r="C2" s="1524"/>
      <c r="D2" s="1524"/>
      <c r="E2" s="1525"/>
    </row>
    <row r="3" spans="1:5" ht="30" customHeight="1">
      <c r="A3" s="707" t="s">
        <v>3707</v>
      </c>
      <c r="B3" s="1523" t="str">
        <f>cst_wskakunin_owner1__address</f>
        <v/>
      </c>
      <c r="C3" s="1524"/>
      <c r="D3" s="1524"/>
      <c r="E3" s="1525"/>
    </row>
    <row r="4" spans="1:5">
      <c r="A4" s="1526"/>
      <c r="B4" s="1526"/>
      <c r="C4" s="1526"/>
      <c r="D4" s="1526"/>
      <c r="E4" s="1526"/>
    </row>
    <row r="5" spans="1:5" ht="18.75">
      <c r="A5" s="1484" t="s">
        <v>3708</v>
      </c>
      <c r="B5" s="1485"/>
      <c r="C5" s="1485"/>
      <c r="D5" s="1485"/>
      <c r="E5" s="1486"/>
    </row>
    <row r="6" spans="1:5" ht="17.25" customHeight="1">
      <c r="A6" s="1487" t="s">
        <v>3709</v>
      </c>
      <c r="B6" s="1488"/>
      <c r="C6" s="1488"/>
      <c r="D6" s="1488"/>
      <c r="E6" s="1489"/>
    </row>
    <row r="7" spans="1:5" ht="13.5">
      <c r="A7" s="1471" t="s">
        <v>3710</v>
      </c>
      <c r="B7" s="1474" t="s">
        <v>3711</v>
      </c>
      <c r="C7" s="1475"/>
      <c r="D7" s="1490"/>
      <c r="E7" s="1476" t="s">
        <v>3712</v>
      </c>
    </row>
    <row r="8" spans="1:5" ht="13.5">
      <c r="A8" s="1472"/>
      <c r="B8" s="697" t="s">
        <v>3713</v>
      </c>
      <c r="C8" s="696" t="s">
        <v>3714</v>
      </c>
      <c r="D8" s="706" t="s">
        <v>3715</v>
      </c>
      <c r="E8" s="1477"/>
    </row>
    <row r="9" spans="1:5" ht="13.5">
      <c r="A9" s="1473"/>
      <c r="B9" s="1496" t="s">
        <v>3716</v>
      </c>
      <c r="C9" s="1497"/>
      <c r="D9" s="704"/>
      <c r="E9" s="1478"/>
    </row>
    <row r="10" spans="1:5" ht="13.5">
      <c r="A10" s="1511" t="s">
        <v>3717</v>
      </c>
      <c r="B10" s="1512"/>
      <c r="C10" s="1512"/>
      <c r="D10" s="1512"/>
      <c r="E10" s="1513"/>
    </row>
    <row r="11" spans="1:5" ht="13.5">
      <c r="A11" s="1514" t="s">
        <v>3718</v>
      </c>
      <c r="B11" s="1515"/>
      <c r="C11" s="1515"/>
      <c r="D11" s="1515"/>
      <c r="E11" s="1516"/>
    </row>
    <row r="12" spans="1:5" ht="20.25" customHeight="1">
      <c r="A12" s="1487" t="s">
        <v>3719</v>
      </c>
      <c r="B12" s="1488"/>
      <c r="C12" s="1488"/>
      <c r="D12" s="1488"/>
      <c r="E12" s="1489"/>
    </row>
    <row r="13" spans="1:5" ht="13.5">
      <c r="A13" s="705" t="s">
        <v>3720</v>
      </c>
      <c r="B13" s="1491" t="s">
        <v>3721</v>
      </c>
      <c r="C13" s="1492"/>
      <c r="D13" s="1493"/>
      <c r="E13" s="1476" t="s">
        <v>3712</v>
      </c>
    </row>
    <row r="14" spans="1:5" ht="13.5">
      <c r="A14" s="1517" t="s">
        <v>3722</v>
      </c>
      <c r="B14" s="1474" t="s">
        <v>3723</v>
      </c>
      <c r="C14" s="1475"/>
      <c r="D14" s="1490"/>
      <c r="E14" s="1477"/>
    </row>
    <row r="15" spans="1:5" ht="13.5">
      <c r="A15" s="1518"/>
      <c r="B15" s="1496" t="s">
        <v>3724</v>
      </c>
      <c r="C15" s="1497"/>
      <c r="D15" s="1498"/>
      <c r="E15" s="1478"/>
    </row>
    <row r="16" spans="1:5" ht="13.5">
      <c r="A16" s="1508" t="s">
        <v>3725</v>
      </c>
      <c r="B16" s="1474" t="s">
        <v>3726</v>
      </c>
      <c r="C16" s="1475"/>
      <c r="D16" s="698"/>
      <c r="E16" s="1476" t="s">
        <v>3712</v>
      </c>
    </row>
    <row r="17" spans="1:5" ht="13.5">
      <c r="A17" s="1509"/>
      <c r="B17" s="1479" t="s">
        <v>3727</v>
      </c>
      <c r="C17" s="1480"/>
      <c r="D17" s="695"/>
      <c r="E17" s="1477"/>
    </row>
    <row r="18" spans="1:5" ht="13.5">
      <c r="A18" s="1510"/>
      <c r="B18" s="1496" t="s">
        <v>3728</v>
      </c>
      <c r="C18" s="1497"/>
      <c r="D18" s="704"/>
      <c r="E18" s="1478"/>
    </row>
    <row r="19" spans="1:5" ht="14.25">
      <c r="A19" s="1519" t="s">
        <v>3729</v>
      </c>
      <c r="B19" s="1520"/>
      <c r="C19" s="1520"/>
      <c r="D19" s="1520"/>
      <c r="E19" s="1521"/>
    </row>
    <row r="20" spans="1:5" ht="13.5">
      <c r="A20" s="1494"/>
      <c r="B20" s="1474" t="s">
        <v>3730</v>
      </c>
      <c r="C20" s="1475"/>
      <c r="D20" s="698"/>
      <c r="E20" s="1476" t="s">
        <v>3712</v>
      </c>
    </row>
    <row r="21" spans="1:5" ht="13.5">
      <c r="A21" s="1495"/>
      <c r="B21" s="1496" t="s">
        <v>3731</v>
      </c>
      <c r="C21" s="1497"/>
      <c r="D21" s="703"/>
      <c r="E21" s="1478"/>
    </row>
    <row r="22" spans="1:5" ht="18.75">
      <c r="A22" s="1484" t="s">
        <v>3732</v>
      </c>
      <c r="B22" s="1485"/>
      <c r="C22" s="1485"/>
      <c r="D22" s="1485"/>
      <c r="E22" s="1486"/>
    </row>
    <row r="23" spans="1:5" ht="14.25" customHeight="1">
      <c r="A23" s="1487" t="s">
        <v>3733</v>
      </c>
      <c r="B23" s="1488"/>
      <c r="C23" s="1488"/>
      <c r="D23" s="1488"/>
      <c r="E23" s="1489"/>
    </row>
    <row r="24" spans="1:5" ht="27">
      <c r="A24" s="702"/>
      <c r="B24" s="1491" t="s">
        <v>3734</v>
      </c>
      <c r="C24" s="1492"/>
      <c r="D24" s="1493"/>
      <c r="E24" s="701" t="s">
        <v>3712</v>
      </c>
    </row>
    <row r="25" spans="1:5" ht="14.25" customHeight="1">
      <c r="A25" s="1487" t="s">
        <v>3735</v>
      </c>
      <c r="B25" s="1488"/>
      <c r="C25" s="1488"/>
      <c r="D25" s="1488"/>
      <c r="E25" s="1489"/>
    </row>
    <row r="26" spans="1:5" ht="13.5">
      <c r="A26" s="1494"/>
      <c r="B26" s="1474" t="s">
        <v>3736</v>
      </c>
      <c r="C26" s="1475"/>
      <c r="D26" s="698"/>
      <c r="E26" s="1476" t="s">
        <v>3712</v>
      </c>
    </row>
    <row r="27" spans="1:5" ht="13.5">
      <c r="A27" s="1495"/>
      <c r="B27" s="1496" t="s">
        <v>3737</v>
      </c>
      <c r="C27" s="1497"/>
      <c r="D27" s="1498"/>
      <c r="E27" s="1478"/>
    </row>
    <row r="28" spans="1:5" ht="18.75">
      <c r="A28" s="1484" t="s">
        <v>3738</v>
      </c>
      <c r="B28" s="1485"/>
      <c r="C28" s="1485"/>
      <c r="D28" s="1485"/>
      <c r="E28" s="1486"/>
    </row>
    <row r="29" spans="1:5" ht="13.5">
      <c r="A29" s="1499" t="s">
        <v>3739</v>
      </c>
      <c r="B29" s="1500"/>
      <c r="C29" s="1500"/>
      <c r="D29" s="698"/>
      <c r="E29" s="1501" t="s">
        <v>3712</v>
      </c>
    </row>
    <row r="30" spans="1:5" ht="13.5">
      <c r="A30" s="700"/>
      <c r="B30" s="1480" t="s">
        <v>3740</v>
      </c>
      <c r="C30" s="1480"/>
      <c r="D30" s="1504"/>
      <c r="E30" s="1502"/>
    </row>
    <row r="31" spans="1:5" ht="13.5">
      <c r="A31" s="1505" t="s">
        <v>3741</v>
      </c>
      <c r="B31" s="1506"/>
      <c r="C31" s="1506"/>
      <c r="D31" s="1507"/>
      <c r="E31" s="1502"/>
    </row>
    <row r="32" spans="1:5" ht="13.5">
      <c r="A32" s="700"/>
      <c r="B32" s="1480" t="s">
        <v>3742</v>
      </c>
      <c r="C32" s="1480"/>
      <c r="D32" s="695"/>
      <c r="E32" s="1502"/>
    </row>
    <row r="33" spans="1:5" ht="13.5">
      <c r="A33" s="699"/>
      <c r="B33" s="1497" t="s">
        <v>3743</v>
      </c>
      <c r="C33" s="1497"/>
      <c r="D33" s="1498"/>
      <c r="E33" s="1503"/>
    </row>
    <row r="34" spans="1:5" ht="18.75">
      <c r="A34" s="1484" t="s">
        <v>3744</v>
      </c>
      <c r="B34" s="1485"/>
      <c r="C34" s="1485"/>
      <c r="D34" s="1485"/>
      <c r="E34" s="1486"/>
    </row>
    <row r="35" spans="1:5" ht="14.25">
      <c r="A35" s="1487" t="s">
        <v>3745</v>
      </c>
      <c r="B35" s="1488"/>
      <c r="C35" s="1488"/>
      <c r="D35" s="1488"/>
      <c r="E35" s="1489"/>
    </row>
    <row r="36" spans="1:5" ht="13.5">
      <c r="A36" s="1471" t="s">
        <v>3746</v>
      </c>
      <c r="B36" s="1474" t="s">
        <v>3747</v>
      </c>
      <c r="C36" s="1475"/>
      <c r="D36" s="1490"/>
      <c r="E36" s="1476" t="s">
        <v>3712</v>
      </c>
    </row>
    <row r="37" spans="1:5" ht="13.5">
      <c r="A37" s="1473"/>
      <c r="B37" s="1496" t="s">
        <v>3748</v>
      </c>
      <c r="C37" s="1497"/>
      <c r="D37" s="1498"/>
      <c r="E37" s="1478"/>
    </row>
    <row r="38" spans="1:5" ht="13.5">
      <c r="A38" s="1471" t="s">
        <v>3749</v>
      </c>
      <c r="B38" s="1474" t="s">
        <v>3750</v>
      </c>
      <c r="C38" s="1475"/>
      <c r="D38" s="698"/>
      <c r="E38" s="1476" t="s">
        <v>3712</v>
      </c>
    </row>
    <row r="39" spans="1:5" ht="13.5">
      <c r="A39" s="1472"/>
      <c r="B39" s="1479" t="s">
        <v>3751</v>
      </c>
      <c r="C39" s="1480"/>
      <c r="D39" s="695"/>
      <c r="E39" s="1477"/>
    </row>
    <row r="40" spans="1:5" ht="13.5">
      <c r="A40" s="1473"/>
      <c r="B40" s="1481" t="s">
        <v>3752</v>
      </c>
      <c r="C40" s="1482"/>
      <c r="D40" s="1483"/>
      <c r="E40" s="1478"/>
    </row>
    <row r="43" spans="1:5" ht="18.75">
      <c r="A43" s="1527" t="s">
        <v>3753</v>
      </c>
      <c r="B43" s="1528"/>
      <c r="C43" s="1528"/>
      <c r="D43" s="1528"/>
      <c r="E43" s="1529"/>
    </row>
    <row r="44" spans="1:5" ht="13.5">
      <c r="A44" s="1530" t="s">
        <v>3754</v>
      </c>
      <c r="B44" s="1531"/>
      <c r="C44" s="1531"/>
      <c r="D44" s="1531"/>
      <c r="E44" s="1532"/>
    </row>
    <row r="45" spans="1:5" ht="13.5">
      <c r="A45" s="1530" t="s">
        <v>3755</v>
      </c>
      <c r="B45" s="1533"/>
      <c r="C45" s="1533"/>
      <c r="D45" s="1533"/>
      <c r="E45" s="1534"/>
    </row>
    <row r="46" spans="1:5" ht="13.5">
      <c r="A46" s="1530" t="s">
        <v>3756</v>
      </c>
      <c r="B46" s="1533"/>
      <c r="C46" s="1533"/>
      <c r="D46" s="1533"/>
      <c r="E46" s="1534"/>
    </row>
    <row r="47" spans="1:5" ht="14.25">
      <c r="A47" s="715" t="s">
        <v>3757</v>
      </c>
      <c r="B47" s="1535" t="s">
        <v>3758</v>
      </c>
      <c r="C47" s="1535"/>
      <c r="D47" s="1535"/>
      <c r="E47" s="1536"/>
    </row>
    <row r="48" spans="1:5" ht="13.5">
      <c r="A48" s="1537" t="s">
        <v>3759</v>
      </c>
      <c r="B48" s="1533"/>
      <c r="C48" s="1533"/>
      <c r="D48" s="1533"/>
      <c r="E48" s="1534"/>
    </row>
    <row r="49" spans="1:5" ht="13.5">
      <c r="A49" s="1530" t="s">
        <v>3760</v>
      </c>
      <c r="B49" s="1533"/>
      <c r="C49" s="1533"/>
      <c r="D49" s="1533"/>
      <c r="E49" s="1534"/>
    </row>
    <row r="50" spans="1:5" ht="13.5">
      <c r="A50" s="708" t="s">
        <v>3761</v>
      </c>
      <c r="B50" s="1533" t="s">
        <v>3762</v>
      </c>
      <c r="C50" s="1533"/>
      <c r="D50" s="1533"/>
      <c r="E50" s="1534"/>
    </row>
    <row r="51" spans="1:5" ht="13.5" customHeight="1">
      <c r="A51" s="1537" t="s">
        <v>3763</v>
      </c>
      <c r="B51" s="1531"/>
      <c r="C51" s="1531"/>
      <c r="D51" s="1531"/>
      <c r="E51" s="1532"/>
    </row>
    <row r="52" spans="1:5" ht="13.5">
      <c r="A52" s="1530" t="s">
        <v>3764</v>
      </c>
      <c r="B52" s="1533"/>
      <c r="C52" s="1533"/>
      <c r="D52" s="1533"/>
      <c r="E52" s="1534"/>
    </row>
    <row r="53" spans="1:5" ht="13.5">
      <c r="A53" s="708" t="s">
        <v>3761</v>
      </c>
      <c r="B53" s="1533" t="s">
        <v>3765</v>
      </c>
      <c r="C53" s="1533"/>
      <c r="D53" s="1533"/>
      <c r="E53" s="1534"/>
    </row>
    <row r="54" spans="1:5" ht="13.5">
      <c r="A54" s="708" t="s">
        <v>3766</v>
      </c>
      <c r="B54" s="1533" t="s">
        <v>3767</v>
      </c>
      <c r="C54" s="1533"/>
      <c r="D54" s="1533"/>
      <c r="E54" s="1534"/>
    </row>
    <row r="55" spans="1:5" ht="13.5">
      <c r="A55" s="708" t="s">
        <v>3768</v>
      </c>
      <c r="B55" s="1533" t="s">
        <v>3769</v>
      </c>
      <c r="C55" s="1533"/>
      <c r="D55" s="1533"/>
      <c r="E55" s="1534"/>
    </row>
    <row r="56" spans="1:5" ht="14.25">
      <c r="A56" s="716" t="s">
        <v>3770</v>
      </c>
      <c r="B56" s="1535" t="s">
        <v>3771</v>
      </c>
      <c r="C56" s="1535"/>
      <c r="D56" s="1535"/>
      <c r="E56" s="1536"/>
    </row>
    <row r="57" spans="1:5" ht="13.5">
      <c r="A57" s="1530" t="s">
        <v>3772</v>
      </c>
      <c r="B57" s="1533"/>
      <c r="C57" s="1533"/>
      <c r="D57" s="1533"/>
      <c r="E57" s="1534"/>
    </row>
    <row r="58" spans="1:5" ht="13.5">
      <c r="A58" s="1530" t="s">
        <v>3764</v>
      </c>
      <c r="B58" s="1533"/>
      <c r="C58" s="1533"/>
      <c r="D58" s="1533"/>
      <c r="E58" s="1534"/>
    </row>
    <row r="59" spans="1:5" ht="13.5">
      <c r="A59" s="1537" t="s">
        <v>3773</v>
      </c>
      <c r="B59" s="1533"/>
      <c r="C59" s="1533"/>
      <c r="D59" s="1533"/>
      <c r="E59" s="1534"/>
    </row>
    <row r="60" spans="1:5" ht="13.5">
      <c r="A60" s="700"/>
      <c r="B60" s="1533" t="s">
        <v>3774</v>
      </c>
      <c r="C60" s="1533"/>
      <c r="D60" s="1533"/>
      <c r="E60" s="1534"/>
    </row>
    <row r="61" spans="1:5" ht="13.5">
      <c r="A61" s="700"/>
      <c r="B61" s="1533" t="s">
        <v>3775</v>
      </c>
      <c r="C61" s="1533"/>
      <c r="D61" s="1533"/>
      <c r="E61" s="1534"/>
    </row>
    <row r="62" spans="1:5" ht="13.5">
      <c r="A62" s="1537" t="s">
        <v>3776</v>
      </c>
      <c r="B62" s="1533"/>
      <c r="C62" s="1533"/>
      <c r="D62" s="1533"/>
      <c r="E62" s="1534"/>
    </row>
    <row r="63" spans="1:5" ht="13.5">
      <c r="A63" s="700"/>
      <c r="B63" s="1533" t="s">
        <v>3777</v>
      </c>
      <c r="C63" s="1533"/>
      <c r="D63" s="1533"/>
      <c r="E63" s="1534"/>
    </row>
    <row r="64" spans="1:5" ht="13.5">
      <c r="A64" s="700"/>
      <c r="B64" s="1533" t="s">
        <v>3778</v>
      </c>
      <c r="C64" s="1533"/>
      <c r="D64" s="1533"/>
      <c r="E64" s="1534"/>
    </row>
    <row r="65" spans="1:5" ht="13.5">
      <c r="A65" s="700"/>
      <c r="B65" s="1533" t="s">
        <v>3779</v>
      </c>
      <c r="C65" s="1533"/>
      <c r="D65" s="1533"/>
      <c r="E65" s="1534"/>
    </row>
    <row r="66" spans="1:5" ht="17.25" customHeight="1">
      <c r="A66" s="1537" t="s">
        <v>3780</v>
      </c>
      <c r="B66" s="1533"/>
      <c r="C66" s="1533"/>
      <c r="D66" s="1533"/>
      <c r="E66" s="1534"/>
    </row>
    <row r="67" spans="1:5" ht="13.5">
      <c r="A67" s="700"/>
      <c r="B67" s="1533" t="s">
        <v>3781</v>
      </c>
      <c r="C67" s="1533"/>
      <c r="D67" s="1533"/>
      <c r="E67" s="1534"/>
    </row>
    <row r="68" spans="1:5" ht="13.5">
      <c r="A68" s="700"/>
      <c r="B68" s="1533" t="s">
        <v>3782</v>
      </c>
      <c r="C68" s="1533"/>
      <c r="D68" s="1533"/>
      <c r="E68" s="1534"/>
    </row>
    <row r="69" spans="1:5" ht="13.5">
      <c r="A69" s="700"/>
      <c r="B69" s="1533" t="s">
        <v>3783</v>
      </c>
      <c r="C69" s="1533"/>
      <c r="D69" s="1533"/>
      <c r="E69" s="1534"/>
    </row>
    <row r="70" spans="1:5" ht="13.5">
      <c r="A70" s="700"/>
      <c r="B70" s="1533" t="s">
        <v>3784</v>
      </c>
      <c r="C70" s="1533"/>
      <c r="D70" s="1533"/>
      <c r="E70" s="1532"/>
    </row>
    <row r="71" spans="1:5" ht="13.5">
      <c r="A71" s="700"/>
      <c r="B71" s="1533" t="s">
        <v>3785</v>
      </c>
      <c r="C71" s="1533"/>
      <c r="D71" s="1533"/>
      <c r="E71" s="1534"/>
    </row>
    <row r="72" spans="1:5" ht="13.5" customHeight="1">
      <c r="A72" s="1537" t="s">
        <v>3786</v>
      </c>
      <c r="B72" s="1531"/>
      <c r="C72" s="1531"/>
      <c r="D72" s="1531"/>
      <c r="E72" s="1532"/>
    </row>
    <row r="73" spans="1:5" ht="13.5">
      <c r="A73" s="700"/>
      <c r="B73" s="1533" t="s">
        <v>3787</v>
      </c>
      <c r="C73" s="1533"/>
      <c r="D73" s="1533"/>
      <c r="E73" s="1534"/>
    </row>
    <row r="74" spans="1:5" ht="13.5">
      <c r="A74" s="1537" t="s">
        <v>3788</v>
      </c>
      <c r="B74" s="1533"/>
      <c r="C74" s="1533"/>
      <c r="D74" s="1533"/>
      <c r="E74" s="1534"/>
    </row>
    <row r="75" spans="1:5" ht="13.5">
      <c r="A75" s="700"/>
      <c r="B75" s="1533" t="s">
        <v>3789</v>
      </c>
      <c r="C75" s="1533"/>
      <c r="D75" s="1533"/>
      <c r="E75" s="1534"/>
    </row>
    <row r="76" spans="1:5" ht="14.25">
      <c r="A76" s="716" t="s">
        <v>3790</v>
      </c>
      <c r="B76" s="1535" t="s">
        <v>3791</v>
      </c>
      <c r="C76" s="1535"/>
      <c r="D76" s="1535"/>
      <c r="E76" s="1536"/>
    </row>
    <row r="77" spans="1:5" ht="13.5">
      <c r="A77" s="1530" t="s">
        <v>3792</v>
      </c>
      <c r="B77" s="1533"/>
      <c r="C77" s="1533"/>
      <c r="D77" s="1533"/>
      <c r="E77" s="1534"/>
    </row>
    <row r="78" spans="1:5" ht="13.5">
      <c r="A78" s="1530" t="s">
        <v>3793</v>
      </c>
      <c r="B78" s="1533"/>
      <c r="C78" s="1533"/>
      <c r="D78" s="1533"/>
      <c r="E78" s="1534"/>
    </row>
    <row r="79" spans="1:5" ht="13.5">
      <c r="A79" s="700"/>
      <c r="B79" s="1533" t="s">
        <v>3794</v>
      </c>
      <c r="C79" s="1533"/>
      <c r="D79" s="1533"/>
      <c r="E79" s="1534"/>
    </row>
    <row r="80" spans="1:5" ht="13.5">
      <c r="A80" s="699"/>
      <c r="B80" s="1533" t="s">
        <v>3795</v>
      </c>
      <c r="C80" s="1533"/>
      <c r="D80" s="1533"/>
      <c r="E80" s="1534"/>
    </row>
    <row r="81" spans="1:5" ht="14.25">
      <c r="A81" s="716" t="s">
        <v>3796</v>
      </c>
      <c r="B81" s="1538" t="s">
        <v>3797</v>
      </c>
      <c r="C81" s="1538"/>
      <c r="D81" s="1538"/>
      <c r="E81" s="1539"/>
    </row>
    <row r="82" spans="1:5" ht="13.5">
      <c r="A82" s="1537" t="s">
        <v>3798</v>
      </c>
      <c r="B82" s="1533"/>
      <c r="C82" s="1533"/>
      <c r="D82" s="1533"/>
      <c r="E82" s="1534"/>
    </row>
    <row r="83" spans="1:5" ht="13.5">
      <c r="A83" s="1530" t="s">
        <v>3793</v>
      </c>
      <c r="B83" s="1533"/>
      <c r="C83" s="1533"/>
      <c r="D83" s="1533"/>
      <c r="E83" s="1534"/>
    </row>
    <row r="84" spans="1:5" ht="13.5">
      <c r="A84" s="699"/>
      <c r="B84" s="1533" t="s">
        <v>3799</v>
      </c>
      <c r="C84" s="1533"/>
      <c r="D84" s="1533"/>
      <c r="E84" s="1534"/>
    </row>
    <row r="85" spans="1:5" ht="14.25">
      <c r="A85" s="716" t="s">
        <v>3800</v>
      </c>
      <c r="B85" s="1538" t="s">
        <v>3801</v>
      </c>
      <c r="C85" s="1538"/>
      <c r="D85" s="1538"/>
      <c r="E85" s="1539"/>
    </row>
    <row r="86" spans="1:5" ht="13.5">
      <c r="A86" s="700"/>
      <c r="B86" s="1533" t="s">
        <v>3802</v>
      </c>
      <c r="C86" s="1533"/>
      <c r="D86" s="1533"/>
      <c r="E86" s="1534"/>
    </row>
    <row r="87" spans="1:5" ht="13.5">
      <c r="A87" s="699"/>
      <c r="B87" s="1533" t="s">
        <v>3803</v>
      </c>
      <c r="C87" s="1533"/>
      <c r="D87" s="1533"/>
      <c r="E87" s="1534"/>
    </row>
    <row r="88" spans="1:5" ht="14.25">
      <c r="A88" s="716" t="s">
        <v>3804</v>
      </c>
      <c r="B88" s="1538" t="s">
        <v>3805</v>
      </c>
      <c r="C88" s="1538"/>
      <c r="D88" s="1538"/>
      <c r="E88" s="1539"/>
    </row>
    <row r="89" spans="1:5" ht="13.5">
      <c r="A89" s="714"/>
      <c r="B89" s="1540" t="s">
        <v>3806</v>
      </c>
      <c r="C89" s="1540"/>
      <c r="D89" s="1540"/>
      <c r="E89" s="1541"/>
    </row>
    <row r="90" spans="1:5" ht="14.25">
      <c r="A90" s="716" t="s">
        <v>3807</v>
      </c>
      <c r="B90" s="1538" t="s">
        <v>3808</v>
      </c>
      <c r="C90" s="1538"/>
      <c r="D90" s="1538"/>
      <c r="E90" s="1539"/>
    </row>
    <row r="91" spans="1:5" ht="13.5">
      <c r="A91" s="1530" t="s">
        <v>3793</v>
      </c>
      <c r="B91" s="1533"/>
      <c r="C91" s="1533"/>
      <c r="D91" s="1533"/>
      <c r="E91" s="1534"/>
    </row>
    <row r="92" spans="1:5" ht="13.5">
      <c r="A92" s="700"/>
      <c r="B92" s="1533" t="s">
        <v>3809</v>
      </c>
      <c r="C92" s="1533"/>
      <c r="D92" s="1533"/>
      <c r="E92" s="1534"/>
    </row>
    <row r="93" spans="1:5" ht="13.5">
      <c r="A93" s="700"/>
      <c r="B93" s="1533" t="s">
        <v>3810</v>
      </c>
      <c r="C93" s="1533"/>
      <c r="D93" s="1533"/>
      <c r="E93" s="1534"/>
    </row>
    <row r="94" spans="1:5" ht="13.5">
      <c r="A94" s="700"/>
      <c r="B94" s="1533" t="s">
        <v>3811</v>
      </c>
      <c r="C94" s="1533"/>
      <c r="D94" s="1533"/>
      <c r="E94" s="1534"/>
    </row>
    <row r="95" spans="1:5" ht="14.25">
      <c r="A95" s="717" t="s">
        <v>3812</v>
      </c>
      <c r="B95" s="1538" t="s">
        <v>3813</v>
      </c>
      <c r="C95" s="1538"/>
      <c r="D95" s="1538"/>
      <c r="E95" s="1539"/>
    </row>
    <row r="96" spans="1:5" ht="13.5">
      <c r="A96" s="1530" t="s">
        <v>3814</v>
      </c>
      <c r="B96" s="1533"/>
      <c r="C96" s="1533"/>
      <c r="D96" s="1533"/>
      <c r="E96" s="1534"/>
    </row>
    <row r="97" spans="1:5" ht="13.5">
      <c r="A97" s="700"/>
      <c r="B97" s="1533" t="s">
        <v>3815</v>
      </c>
      <c r="C97" s="1533"/>
      <c r="D97" s="1533"/>
      <c r="E97" s="1534"/>
    </row>
    <row r="98" spans="1:5" ht="14.25">
      <c r="A98" s="716" t="s">
        <v>3816</v>
      </c>
      <c r="B98" s="1535" t="s">
        <v>3817</v>
      </c>
      <c r="C98" s="1535"/>
      <c r="D98" s="1535"/>
      <c r="E98" s="1536"/>
    </row>
    <row r="99" spans="1:5" ht="13.5">
      <c r="A99" s="714"/>
      <c r="B99" s="1515" t="s">
        <v>3818</v>
      </c>
      <c r="C99" s="1515"/>
      <c r="D99" s="1515"/>
      <c r="E99" s="1516"/>
    </row>
  </sheetData>
  <mergeCells count="111">
    <mergeCell ref="A96:E96"/>
    <mergeCell ref="B97:E97"/>
    <mergeCell ref="B98:E98"/>
    <mergeCell ref="B99:E99"/>
    <mergeCell ref="A72:E72"/>
    <mergeCell ref="A74:E74"/>
    <mergeCell ref="B90:E90"/>
    <mergeCell ref="A91:E91"/>
    <mergeCell ref="B92:E92"/>
    <mergeCell ref="B93:E93"/>
    <mergeCell ref="B94:E94"/>
    <mergeCell ref="B95:E95"/>
    <mergeCell ref="B85:E85"/>
    <mergeCell ref="B86:E86"/>
    <mergeCell ref="B87:E87"/>
    <mergeCell ref="B88:E88"/>
    <mergeCell ref="B89:E89"/>
    <mergeCell ref="B79:E79"/>
    <mergeCell ref="B80:E80"/>
    <mergeCell ref="B81:E81"/>
    <mergeCell ref="A82:E82"/>
    <mergeCell ref="A83:E83"/>
    <mergeCell ref="B84:E84"/>
    <mergeCell ref="B71:E71"/>
    <mergeCell ref="B73:E73"/>
    <mergeCell ref="B75:E75"/>
    <mergeCell ref="B76:E76"/>
    <mergeCell ref="A77:E77"/>
    <mergeCell ref="A78:E78"/>
    <mergeCell ref="B65:E65"/>
    <mergeCell ref="A66:E66"/>
    <mergeCell ref="B67:E67"/>
    <mergeCell ref="B68:E68"/>
    <mergeCell ref="B69:E69"/>
    <mergeCell ref="B70:E70"/>
    <mergeCell ref="A59:E59"/>
    <mergeCell ref="B60:E60"/>
    <mergeCell ref="B61:E61"/>
    <mergeCell ref="A62:E62"/>
    <mergeCell ref="B63:E63"/>
    <mergeCell ref="B64:E64"/>
    <mergeCell ref="A49:E49"/>
    <mergeCell ref="A48:E48"/>
    <mergeCell ref="B50:E50"/>
    <mergeCell ref="A52:E52"/>
    <mergeCell ref="B53:E53"/>
    <mergeCell ref="B54:E54"/>
    <mergeCell ref="A51:E51"/>
    <mergeCell ref="A43:E43"/>
    <mergeCell ref="A44:E44"/>
    <mergeCell ref="A45:E45"/>
    <mergeCell ref="A46:E46"/>
    <mergeCell ref="B47:E47"/>
    <mergeCell ref="B55:E55"/>
    <mergeCell ref="B56:E56"/>
    <mergeCell ref="A57:E57"/>
    <mergeCell ref="A58:E58"/>
    <mergeCell ref="A6:E6"/>
    <mergeCell ref="A7:A9"/>
    <mergeCell ref="B7:D7"/>
    <mergeCell ref="E7:E9"/>
    <mergeCell ref="B9:C9"/>
    <mergeCell ref="A1:E1"/>
    <mergeCell ref="B2:E2"/>
    <mergeCell ref="B3:E3"/>
    <mergeCell ref="A4:E4"/>
    <mergeCell ref="A5:E5"/>
    <mergeCell ref="A10:E10"/>
    <mergeCell ref="A11:E11"/>
    <mergeCell ref="A12:E12"/>
    <mergeCell ref="B13:D13"/>
    <mergeCell ref="E13:E15"/>
    <mergeCell ref="A14:A15"/>
    <mergeCell ref="B14:D14"/>
    <mergeCell ref="B15:D15"/>
    <mergeCell ref="A19:E19"/>
    <mergeCell ref="A20:A21"/>
    <mergeCell ref="B20:C20"/>
    <mergeCell ref="E20:E21"/>
    <mergeCell ref="B21:C21"/>
    <mergeCell ref="A16:A18"/>
    <mergeCell ref="B16:C16"/>
    <mergeCell ref="E16:E18"/>
    <mergeCell ref="B17:C17"/>
    <mergeCell ref="B18:C18"/>
    <mergeCell ref="A22:E22"/>
    <mergeCell ref="A23:E23"/>
    <mergeCell ref="B24:D24"/>
    <mergeCell ref="A25:E25"/>
    <mergeCell ref="A26:A27"/>
    <mergeCell ref="B26:C26"/>
    <mergeCell ref="E26:E27"/>
    <mergeCell ref="B27:D27"/>
    <mergeCell ref="B37:D37"/>
    <mergeCell ref="A28:E28"/>
    <mergeCell ref="A29:C29"/>
    <mergeCell ref="E29:E33"/>
    <mergeCell ref="B30:D30"/>
    <mergeCell ref="A31:D31"/>
    <mergeCell ref="B32:C32"/>
    <mergeCell ref="B33:D33"/>
    <mergeCell ref="A38:A40"/>
    <mergeCell ref="B38:C38"/>
    <mergeCell ref="E38:E40"/>
    <mergeCell ref="B39:C39"/>
    <mergeCell ref="B40:D40"/>
    <mergeCell ref="A34:E34"/>
    <mergeCell ref="A35:E35"/>
    <mergeCell ref="A36:A37"/>
    <mergeCell ref="B36:D36"/>
    <mergeCell ref="E36:E37"/>
  </mergeCells>
  <phoneticPr fontId="116"/>
  <pageMargins left="0.70866141732283472" right="0.70866141732283472" top="0.74803149606299213" bottom="0.74803149606299213" header="0.31496062992125984" footer="0.31496062992125984"/>
  <pageSetup paperSize="9" scale="79" orientation="portrait" r:id="rId1"/>
  <rowBreaks count="1" manualBreakCount="1">
    <brk id="4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57"/>
  <sheetViews>
    <sheetView view="pageBreakPreview" zoomScaleNormal="100" zoomScaleSheetLayoutView="100" workbookViewId="0"/>
  </sheetViews>
  <sheetFormatPr defaultColWidth="9" defaultRowHeight="14.25"/>
  <cols>
    <col min="1" max="1" width="5.625" style="500" customWidth="1"/>
    <col min="2" max="2" width="3.625" style="500" customWidth="1"/>
    <col min="3" max="3" width="2.125" style="500" customWidth="1"/>
    <col min="4" max="4" width="3.625" style="500" customWidth="1"/>
    <col min="5" max="5" width="2.125" style="500" customWidth="1"/>
    <col min="6" max="6" width="10.875" style="500" customWidth="1"/>
    <col min="7" max="7" width="15.625" style="500" customWidth="1"/>
    <col min="8" max="8" width="3.625" style="500" customWidth="1"/>
    <col min="9" max="9" width="2.125" style="500" customWidth="1"/>
    <col min="10" max="10" width="3.625" style="500" customWidth="1"/>
    <col min="11" max="11" width="9" style="500" customWidth="1"/>
    <col min="12" max="16384" width="9" style="500"/>
  </cols>
  <sheetData>
    <row r="1" spans="1:14" ht="17.100000000000001" customHeight="1">
      <c r="A1" s="1400" t="s">
        <v>3546</v>
      </c>
      <c r="B1" s="1401"/>
      <c r="C1" s="1401"/>
      <c r="D1" s="1401"/>
      <c r="E1" s="1401"/>
      <c r="F1" s="1401"/>
      <c r="G1" s="1401"/>
      <c r="H1" s="1401"/>
      <c r="I1" s="1401"/>
      <c r="J1" s="1401"/>
      <c r="K1" s="1401"/>
      <c r="L1" s="1401"/>
      <c r="M1" s="1401"/>
      <c r="N1" s="1402"/>
    </row>
    <row r="2" spans="1:14" ht="14.25" customHeight="1">
      <c r="A2" s="501"/>
      <c r="B2" s="501"/>
      <c r="C2" s="501"/>
      <c r="D2" s="501"/>
      <c r="E2" s="501"/>
      <c r="F2" s="501"/>
      <c r="G2" s="501"/>
      <c r="H2" s="501"/>
      <c r="I2" s="501"/>
      <c r="J2" s="501"/>
      <c r="K2" s="501"/>
      <c r="L2" s="501"/>
      <c r="M2" s="1403" t="s">
        <v>3547</v>
      </c>
      <c r="N2" s="1404"/>
    </row>
    <row r="3" spans="1:14" ht="14.25" customHeight="1"/>
    <row r="4" spans="1:14" s="503" customFormat="1" ht="17.100000000000001" customHeight="1">
      <c r="A4" s="502" t="s">
        <v>1665</v>
      </c>
      <c r="B4" s="1405" t="s">
        <v>3548</v>
      </c>
      <c r="C4" s="1405"/>
      <c r="D4" s="1406"/>
      <c r="E4" s="1406"/>
      <c r="F4" s="1406"/>
      <c r="G4" s="1406"/>
      <c r="H4" s="1406"/>
      <c r="I4" s="1406"/>
      <c r="J4" s="1406"/>
      <c r="K4" s="1406"/>
      <c r="L4" s="1406"/>
      <c r="M4" s="1406"/>
      <c r="N4" s="1402"/>
    </row>
    <row r="5" spans="1:14" s="503" customFormat="1" ht="17.100000000000001" customHeight="1">
      <c r="A5" s="504"/>
      <c r="B5" s="1406"/>
      <c r="C5" s="1406"/>
      <c r="D5" s="1406"/>
      <c r="E5" s="1406"/>
      <c r="F5" s="1406"/>
      <c r="G5" s="1406"/>
      <c r="H5" s="1406"/>
      <c r="I5" s="1406"/>
      <c r="J5" s="1406"/>
      <c r="K5" s="1406"/>
      <c r="L5" s="1406"/>
      <c r="M5" s="1406"/>
      <c r="N5" s="1402"/>
    </row>
    <row r="6" spans="1:14" s="503" customFormat="1" ht="14.25" customHeight="1">
      <c r="A6" s="504"/>
      <c r="B6" s="505"/>
      <c r="C6" s="504"/>
      <c r="D6" s="505"/>
      <c r="E6" s="504"/>
      <c r="F6" s="505"/>
      <c r="G6" s="505"/>
      <c r="H6" s="505"/>
      <c r="I6" s="504"/>
      <c r="J6" s="505"/>
      <c r="K6" s="505"/>
      <c r="L6" s="505"/>
      <c r="M6" s="505"/>
    </row>
    <row r="7" spans="1:14" ht="14.25" customHeight="1">
      <c r="A7" s="506" t="s">
        <v>3218</v>
      </c>
      <c r="B7" s="507" t="s">
        <v>2832</v>
      </c>
      <c r="C7" s="506"/>
      <c r="D7" s="1407" t="s">
        <v>3549</v>
      </c>
      <c r="E7" s="1407"/>
      <c r="F7" s="1407"/>
      <c r="G7" s="1407"/>
      <c r="H7" s="1407"/>
      <c r="I7" s="1407"/>
      <c r="J7" s="1407"/>
      <c r="K7" s="1407"/>
      <c r="L7" s="1407"/>
      <c r="M7" s="1407"/>
      <c r="N7" s="1402"/>
    </row>
    <row r="8" spans="1:14" ht="14.25" customHeight="1">
      <c r="A8" s="506"/>
      <c r="C8" s="506"/>
      <c r="D8" s="1407"/>
      <c r="E8" s="1407"/>
      <c r="F8" s="1407"/>
      <c r="G8" s="1407"/>
      <c r="H8" s="1407"/>
      <c r="I8" s="1407"/>
      <c r="J8" s="1407"/>
      <c r="K8" s="1407"/>
      <c r="L8" s="1407"/>
      <c r="M8" s="1407"/>
      <c r="N8" s="1402"/>
    </row>
    <row r="9" spans="1:14" ht="14.25" customHeight="1">
      <c r="A9" s="506"/>
      <c r="C9" s="506"/>
      <c r="D9" s="507" t="s">
        <v>2832</v>
      </c>
      <c r="E9" s="506"/>
      <c r="F9" s="508" t="s">
        <v>3550</v>
      </c>
      <c r="G9" s="509"/>
      <c r="H9" s="507" t="s">
        <v>2832</v>
      </c>
      <c r="I9" s="506"/>
      <c r="J9" s="508" t="s">
        <v>3551</v>
      </c>
      <c r="K9" s="509"/>
      <c r="L9" s="509"/>
      <c r="M9" s="509"/>
    </row>
    <row r="10" spans="1:14" ht="14.25" customHeight="1">
      <c r="A10" s="506"/>
      <c r="C10" s="506"/>
      <c r="D10" s="507" t="s">
        <v>2832</v>
      </c>
      <c r="E10" s="506"/>
      <c r="F10" s="508" t="s">
        <v>3552</v>
      </c>
      <c r="G10" s="509"/>
      <c r="H10" s="509"/>
      <c r="I10" s="506"/>
      <c r="J10" s="509"/>
      <c r="K10" s="509"/>
      <c r="L10" s="509"/>
      <c r="M10" s="509"/>
    </row>
    <row r="11" spans="1:14" s="503" customFormat="1" ht="14.25" customHeight="1">
      <c r="A11" s="504"/>
      <c r="B11" s="505"/>
      <c r="C11" s="504"/>
      <c r="D11" s="505"/>
      <c r="E11" s="504"/>
      <c r="F11" s="505"/>
      <c r="G11" s="505"/>
      <c r="H11" s="505"/>
      <c r="I11" s="504"/>
      <c r="J11" s="505"/>
      <c r="K11" s="505"/>
      <c r="L11" s="505"/>
      <c r="M11" s="505"/>
    </row>
    <row r="12" spans="1:14" ht="14.25" customHeight="1">
      <c r="A12" s="506" t="s">
        <v>3220</v>
      </c>
      <c r="B12" s="507" t="s">
        <v>2832</v>
      </c>
      <c r="C12" s="506"/>
      <c r="D12" s="500" t="s">
        <v>3553</v>
      </c>
      <c r="E12" s="506"/>
      <c r="I12" s="506"/>
    </row>
    <row r="13" spans="1:14" ht="14.25" customHeight="1">
      <c r="A13" s="510"/>
      <c r="C13" s="510"/>
      <c r="D13" s="507" t="s">
        <v>2832</v>
      </c>
      <c r="E13" s="510"/>
      <c r="F13" s="500" t="s">
        <v>3552</v>
      </c>
      <c r="H13" s="507" t="s">
        <v>2832</v>
      </c>
      <c r="I13" s="510"/>
      <c r="J13" s="500" t="s">
        <v>3554</v>
      </c>
    </row>
    <row r="14" spans="1:14" s="503" customFormat="1" ht="14.25" customHeight="1">
      <c r="A14" s="504"/>
      <c r="C14" s="504"/>
      <c r="E14" s="504"/>
      <c r="I14" s="504"/>
    </row>
    <row r="15" spans="1:14" s="503" customFormat="1" ht="17.100000000000001" customHeight="1">
      <c r="A15" s="502" t="s">
        <v>1710</v>
      </c>
      <c r="B15" s="511" t="s">
        <v>3555</v>
      </c>
      <c r="C15" s="502"/>
      <c r="E15" s="502"/>
      <c r="I15" s="502"/>
    </row>
    <row r="16" spans="1:14" s="503" customFormat="1" ht="14.25" customHeight="1">
      <c r="A16" s="502"/>
      <c r="B16" s="511"/>
      <c r="C16" s="502"/>
      <c r="E16" s="502"/>
      <c r="I16" s="502"/>
    </row>
    <row r="17" spans="1:16" ht="14.25" customHeight="1">
      <c r="A17" s="506" t="s">
        <v>3218</v>
      </c>
      <c r="B17" s="507" t="s">
        <v>2832</v>
      </c>
      <c r="C17" s="506"/>
      <c r="D17" s="512" t="s">
        <v>3556</v>
      </c>
      <c r="E17" s="506"/>
      <c r="I17" s="506"/>
    </row>
    <row r="18" spans="1:16" ht="14.25" customHeight="1">
      <c r="D18" s="507" t="s">
        <v>2832</v>
      </c>
      <c r="F18" s="500" t="s">
        <v>234</v>
      </c>
      <c r="H18" s="507" t="s">
        <v>2832</v>
      </c>
      <c r="J18" s="500" t="s">
        <v>434</v>
      </c>
    </row>
    <row r="19" spans="1:16" ht="14.25" customHeight="1">
      <c r="D19" s="507" t="s">
        <v>2832</v>
      </c>
      <c r="F19" s="500" t="s">
        <v>3340</v>
      </c>
      <c r="H19" s="507" t="s">
        <v>2832</v>
      </c>
      <c r="J19" s="500" t="s">
        <v>1491</v>
      </c>
    </row>
    <row r="20" spans="1:16" ht="14.25" customHeight="1">
      <c r="D20" s="507" t="s">
        <v>2832</v>
      </c>
      <c r="F20" s="500" t="s">
        <v>3557</v>
      </c>
      <c r="G20" s="1396"/>
      <c r="H20" s="1396"/>
      <c r="I20" s="1396"/>
      <c r="J20" s="1396"/>
      <c r="K20" s="1396"/>
      <c r="L20" s="1396"/>
      <c r="M20" s="1396"/>
      <c r="N20" s="500" t="s">
        <v>2913</v>
      </c>
    </row>
    <row r="21" spans="1:16" s="503" customFormat="1" ht="14.25" customHeight="1">
      <c r="A21" s="502"/>
      <c r="B21" s="511"/>
      <c r="C21" s="502"/>
      <c r="E21" s="502"/>
      <c r="I21" s="502"/>
    </row>
    <row r="22" spans="1:16" ht="14.25" customHeight="1">
      <c r="A22" s="506" t="s">
        <v>3220</v>
      </c>
      <c r="B22" s="507" t="s">
        <v>2832</v>
      </c>
      <c r="C22" s="506"/>
      <c r="D22" s="1399" t="s">
        <v>3558</v>
      </c>
      <c r="E22" s="1399"/>
      <c r="F22" s="1399"/>
      <c r="G22" s="1399"/>
      <c r="H22" s="1399"/>
      <c r="I22" s="1399"/>
      <c r="J22" s="1399"/>
      <c r="K22" s="1399"/>
      <c r="L22" s="1399"/>
      <c r="M22" s="1399"/>
      <c r="N22" s="1399"/>
    </row>
    <row r="23" spans="1:16" ht="14.25" customHeight="1">
      <c r="A23" s="506"/>
      <c r="B23" s="503"/>
      <c r="C23" s="506"/>
      <c r="D23" s="1399"/>
      <c r="E23" s="1399"/>
      <c r="F23" s="1399"/>
      <c r="G23" s="1399"/>
      <c r="H23" s="1399"/>
      <c r="I23" s="1399"/>
      <c r="J23" s="1399"/>
      <c r="K23" s="1399"/>
      <c r="L23" s="1399"/>
      <c r="M23" s="1399"/>
      <c r="N23" s="1399"/>
    </row>
    <row r="24" spans="1:16" s="503" customFormat="1" ht="14.25" customHeight="1">
      <c r="C24" s="500" t="s">
        <v>3559</v>
      </c>
    </row>
    <row r="25" spans="1:16" ht="14.25" customHeight="1">
      <c r="A25" s="510"/>
      <c r="C25" s="510"/>
      <c r="D25" s="507" t="s">
        <v>2832</v>
      </c>
      <c r="E25" s="510"/>
      <c r="F25" s="500" t="s">
        <v>3560</v>
      </c>
      <c r="I25" s="510"/>
    </row>
    <row r="26" spans="1:16" ht="14.25" customHeight="1">
      <c r="D26" s="507" t="s">
        <v>2832</v>
      </c>
      <c r="F26" s="500" t="s">
        <v>3557</v>
      </c>
      <c r="G26" s="1396"/>
      <c r="H26" s="1396"/>
      <c r="I26" s="1396"/>
      <c r="J26" s="1396"/>
      <c r="K26" s="1396"/>
      <c r="L26" s="1396"/>
      <c r="M26" s="1396"/>
      <c r="N26" s="500" t="s">
        <v>2913</v>
      </c>
      <c r="P26" s="508"/>
    </row>
    <row r="27" spans="1:16" s="503" customFormat="1" ht="14.25" customHeight="1">
      <c r="C27" s="500" t="s">
        <v>3561</v>
      </c>
    </row>
    <row r="28" spans="1:16" s="503" customFormat="1" ht="14.25" customHeight="1">
      <c r="D28" s="507" t="s">
        <v>2832</v>
      </c>
      <c r="E28" s="500"/>
      <c r="F28" s="500" t="s">
        <v>234</v>
      </c>
      <c r="G28" s="500"/>
      <c r="H28" s="507" t="s">
        <v>2832</v>
      </c>
      <c r="I28" s="500"/>
      <c r="J28" s="500" t="s">
        <v>434</v>
      </c>
      <c r="K28" s="500"/>
      <c r="L28" s="500"/>
      <c r="M28" s="500"/>
      <c r="N28" s="500"/>
    </row>
    <row r="29" spans="1:16" s="503" customFormat="1" ht="14.25" customHeight="1">
      <c r="D29" s="507" t="s">
        <v>2832</v>
      </c>
      <c r="E29" s="500"/>
      <c r="F29" s="500" t="s">
        <v>3340</v>
      </c>
      <c r="G29" s="500"/>
      <c r="H29" s="507" t="s">
        <v>2832</v>
      </c>
      <c r="I29" s="500"/>
      <c r="J29" s="500" t="s">
        <v>1491</v>
      </c>
      <c r="K29" s="500"/>
      <c r="L29" s="500"/>
      <c r="M29" s="500"/>
      <c r="N29" s="500"/>
    </row>
    <row r="30" spans="1:16" s="503" customFormat="1" ht="14.25" customHeight="1">
      <c r="D30" s="507" t="s">
        <v>2832</v>
      </c>
      <c r="E30" s="500"/>
      <c r="F30" s="500" t="s">
        <v>3557</v>
      </c>
      <c r="G30" s="1396"/>
      <c r="H30" s="1396"/>
      <c r="I30" s="1396"/>
      <c r="J30" s="1396"/>
      <c r="K30" s="1396"/>
      <c r="L30" s="1396"/>
      <c r="M30" s="1396"/>
      <c r="N30" s="500" t="s">
        <v>2913</v>
      </c>
    </row>
    <row r="31" spans="1:16" s="503" customFormat="1" ht="14.25" customHeight="1"/>
    <row r="32" spans="1:16" ht="14.25" customHeight="1">
      <c r="A32" s="506" t="s">
        <v>3221</v>
      </c>
      <c r="B32" s="507" t="s">
        <v>2832</v>
      </c>
      <c r="C32" s="506"/>
      <c r="D32" s="512" t="s">
        <v>3562</v>
      </c>
      <c r="E32" s="513"/>
      <c r="F32" s="513"/>
      <c r="G32" s="513"/>
      <c r="H32" s="513"/>
      <c r="I32" s="513"/>
      <c r="J32" s="513"/>
      <c r="K32" s="513"/>
      <c r="L32" s="513"/>
      <c r="M32" s="513"/>
      <c r="N32" s="514"/>
    </row>
    <row r="33" spans="1:16" s="503" customFormat="1" ht="14.25" customHeight="1">
      <c r="C33" s="500" t="s">
        <v>3563</v>
      </c>
    </row>
    <row r="34" spans="1:16" ht="14.25" customHeight="1">
      <c r="D34" s="507" t="s">
        <v>2832</v>
      </c>
      <c r="F34" s="500" t="s">
        <v>234</v>
      </c>
      <c r="H34" s="507" t="s">
        <v>2832</v>
      </c>
      <c r="J34" s="500" t="s">
        <v>434</v>
      </c>
    </row>
    <row r="35" spans="1:16" ht="14.25" customHeight="1">
      <c r="D35" s="507" t="s">
        <v>2832</v>
      </c>
      <c r="F35" s="500" t="s">
        <v>3340</v>
      </c>
      <c r="H35" s="507" t="s">
        <v>2832</v>
      </c>
      <c r="J35" s="500" t="s">
        <v>1491</v>
      </c>
    </row>
    <row r="36" spans="1:16" ht="14.25" customHeight="1">
      <c r="D36" s="507" t="s">
        <v>2832</v>
      </c>
      <c r="F36" s="500" t="s">
        <v>3557</v>
      </c>
      <c r="G36" s="1396"/>
      <c r="H36" s="1396"/>
      <c r="I36" s="1396"/>
      <c r="J36" s="1396"/>
      <c r="K36" s="1396"/>
      <c r="L36" s="1396"/>
      <c r="M36" s="1396"/>
      <c r="N36" s="500" t="s">
        <v>2913</v>
      </c>
    </row>
    <row r="37" spans="1:16" s="503" customFormat="1" ht="14.25" customHeight="1">
      <c r="C37" s="1397" t="s">
        <v>3564</v>
      </c>
      <c r="D37" s="1398"/>
      <c r="E37" s="1398"/>
      <c r="F37" s="1398"/>
      <c r="G37" s="1398"/>
      <c r="H37" s="1398"/>
      <c r="I37" s="1398"/>
      <c r="J37" s="1398"/>
      <c r="K37" s="1398"/>
      <c r="L37" s="1398"/>
      <c r="M37" s="1398"/>
      <c r="N37" s="1398"/>
    </row>
    <row r="38" spans="1:16" s="503" customFormat="1" ht="14.25" customHeight="1">
      <c r="C38" s="1398"/>
      <c r="D38" s="1398"/>
      <c r="E38" s="1398"/>
      <c r="F38" s="1398"/>
      <c r="G38" s="1398"/>
      <c r="H38" s="1398"/>
      <c r="I38" s="1398"/>
      <c r="J38" s="1398"/>
      <c r="K38" s="1398"/>
      <c r="L38" s="1398"/>
      <c r="M38" s="1398"/>
      <c r="N38" s="1398"/>
    </row>
    <row r="39" spans="1:16" s="503" customFormat="1" ht="14.25" customHeight="1">
      <c r="D39" s="507" t="s">
        <v>2832</v>
      </c>
      <c r="E39" s="500"/>
      <c r="F39" s="500" t="s">
        <v>234</v>
      </c>
      <c r="G39" s="500"/>
      <c r="H39" s="507" t="s">
        <v>2832</v>
      </c>
      <c r="I39" s="500"/>
      <c r="J39" s="500" t="s">
        <v>434</v>
      </c>
      <c r="K39" s="500"/>
      <c r="L39" s="500"/>
      <c r="M39" s="500"/>
      <c r="N39" s="500"/>
    </row>
    <row r="40" spans="1:16" s="503" customFormat="1" ht="14.25" customHeight="1">
      <c r="D40" s="507" t="s">
        <v>2832</v>
      </c>
      <c r="E40" s="500"/>
      <c r="F40" s="500" t="s">
        <v>3340</v>
      </c>
      <c r="G40" s="500"/>
      <c r="H40" s="507" t="s">
        <v>2832</v>
      </c>
      <c r="I40" s="500"/>
      <c r="J40" s="500" t="s">
        <v>1491</v>
      </c>
      <c r="K40" s="500"/>
      <c r="L40" s="500"/>
      <c r="M40" s="500"/>
      <c r="N40" s="500"/>
    </row>
    <row r="41" spans="1:16" s="503" customFormat="1" ht="14.25" customHeight="1">
      <c r="D41" s="507" t="s">
        <v>2832</v>
      </c>
      <c r="E41" s="500"/>
      <c r="F41" s="500" t="s">
        <v>3557</v>
      </c>
      <c r="G41" s="1396"/>
      <c r="H41" s="1396"/>
      <c r="I41" s="1396"/>
      <c r="J41" s="1396"/>
      <c r="K41" s="1396"/>
      <c r="L41" s="1396"/>
      <c r="M41" s="1396"/>
      <c r="N41" s="500" t="s">
        <v>2913</v>
      </c>
    </row>
    <row r="42" spans="1:16" s="503" customFormat="1" ht="14.25" customHeight="1"/>
    <row r="43" spans="1:16" s="503" customFormat="1" ht="17.100000000000001" customHeight="1">
      <c r="A43" s="502" t="s">
        <v>1717</v>
      </c>
      <c r="B43" s="511" t="s">
        <v>3565</v>
      </c>
      <c r="C43" s="502"/>
      <c r="E43" s="502"/>
      <c r="I43" s="502"/>
    </row>
    <row r="44" spans="1:16" s="503" customFormat="1" ht="14.25" customHeight="1">
      <c r="A44" s="502"/>
      <c r="B44" s="511"/>
      <c r="C44" s="502"/>
      <c r="E44" s="502"/>
      <c r="I44" s="502"/>
    </row>
    <row r="45" spans="1:16" ht="14.25" customHeight="1">
      <c r="A45" s="506" t="s">
        <v>3218</v>
      </c>
      <c r="B45" s="507" t="s">
        <v>2832</v>
      </c>
      <c r="C45" s="506"/>
      <c r="D45" s="512" t="s">
        <v>3566</v>
      </c>
      <c r="E45" s="515"/>
      <c r="F45" s="515"/>
      <c r="G45" s="515"/>
      <c r="H45" s="515"/>
      <c r="I45" s="515"/>
      <c r="J45" s="515"/>
      <c r="K45" s="515"/>
      <c r="L45" s="515"/>
      <c r="M45" s="515"/>
      <c r="N45" s="515"/>
    </row>
    <row r="46" spans="1:16" ht="14.25" customHeight="1">
      <c r="A46" s="506"/>
      <c r="B46" s="511"/>
      <c r="C46" s="506"/>
      <c r="D46" s="515"/>
      <c r="E46" s="515"/>
      <c r="F46" s="515"/>
      <c r="G46" s="515"/>
      <c r="H46" s="515"/>
      <c r="I46" s="515"/>
      <c r="J46" s="515"/>
      <c r="K46" s="515"/>
      <c r="L46" s="515"/>
      <c r="M46" s="515"/>
      <c r="N46" s="515"/>
    </row>
    <row r="47" spans="1:16" ht="14.25" customHeight="1">
      <c r="A47" s="506" t="s">
        <v>3220</v>
      </c>
      <c r="B47" s="507" t="s">
        <v>2832</v>
      </c>
      <c r="C47" s="506"/>
      <c r="D47" s="500" t="s">
        <v>3567</v>
      </c>
      <c r="E47" s="506"/>
      <c r="I47" s="506"/>
      <c r="P47" s="508"/>
    </row>
    <row r="48" spans="1:16" ht="14.25" customHeight="1">
      <c r="D48" s="507" t="s">
        <v>2832</v>
      </c>
      <c r="F48" s="500" t="s">
        <v>234</v>
      </c>
      <c r="H48" s="507" t="s">
        <v>2832</v>
      </c>
      <c r="J48" s="500" t="s">
        <v>434</v>
      </c>
    </row>
    <row r="49" spans="1:14" ht="14.25" customHeight="1">
      <c r="D49" s="507" t="s">
        <v>2832</v>
      </c>
      <c r="F49" s="500" t="s">
        <v>3340</v>
      </c>
      <c r="H49" s="507" t="s">
        <v>2832</v>
      </c>
      <c r="J49" s="500" t="s">
        <v>1491</v>
      </c>
    </row>
    <row r="50" spans="1:14" ht="14.25" customHeight="1">
      <c r="D50" s="507" t="s">
        <v>2832</v>
      </c>
      <c r="F50" s="500" t="s">
        <v>3557</v>
      </c>
      <c r="G50" s="1396"/>
      <c r="H50" s="1396"/>
      <c r="I50" s="1396"/>
      <c r="J50" s="1396"/>
      <c r="K50" s="1396"/>
      <c r="L50" s="1396"/>
      <c r="M50" s="1396"/>
      <c r="N50" s="500" t="s">
        <v>2913</v>
      </c>
    </row>
    <row r="51" spans="1:14" ht="14.25" customHeight="1"/>
    <row r="52" spans="1:14" ht="17.100000000000001" customHeight="1">
      <c r="A52" s="502" t="s">
        <v>2228</v>
      </c>
      <c r="B52" s="511" t="s">
        <v>2</v>
      </c>
      <c r="C52" s="502"/>
      <c r="E52" s="502"/>
      <c r="G52" s="1384"/>
      <c r="H52" s="1384"/>
      <c r="I52" s="1384"/>
      <c r="J52" s="1384"/>
      <c r="K52" s="1384"/>
      <c r="L52" s="1384"/>
    </row>
    <row r="53" spans="1:14" ht="14.25" customHeight="1">
      <c r="B53" s="1385"/>
      <c r="C53" s="1386"/>
      <c r="D53" s="1386"/>
      <c r="E53" s="1386"/>
      <c r="F53" s="1386"/>
      <c r="G53" s="1386"/>
      <c r="H53" s="1386"/>
      <c r="I53" s="1386"/>
      <c r="J53" s="1386"/>
      <c r="K53" s="1386"/>
      <c r="L53" s="1386"/>
      <c r="M53" s="1387"/>
      <c r="N53" s="1388"/>
    </row>
    <row r="54" spans="1:14" ht="14.25" customHeight="1">
      <c r="B54" s="1389"/>
      <c r="C54" s="1390"/>
      <c r="D54" s="1390"/>
      <c r="E54" s="1390"/>
      <c r="F54" s="1390"/>
      <c r="G54" s="1390"/>
      <c r="H54" s="1390"/>
      <c r="I54" s="1390"/>
      <c r="J54" s="1390"/>
      <c r="K54" s="1390"/>
      <c r="L54" s="1390"/>
      <c r="M54" s="1391"/>
      <c r="N54" s="1392"/>
    </row>
    <row r="55" spans="1:14" ht="14.25" customHeight="1">
      <c r="B55" s="1389"/>
      <c r="C55" s="1390"/>
      <c r="D55" s="1390"/>
      <c r="E55" s="1390"/>
      <c r="F55" s="1390"/>
      <c r="G55" s="1390"/>
      <c r="H55" s="1390"/>
      <c r="I55" s="1390"/>
      <c r="J55" s="1390"/>
      <c r="K55" s="1390"/>
      <c r="L55" s="1390"/>
      <c r="M55" s="1391"/>
      <c r="N55" s="1392"/>
    </row>
    <row r="56" spans="1:14" ht="14.25" customHeight="1">
      <c r="B56" s="1389"/>
      <c r="C56" s="1390"/>
      <c r="D56" s="1390"/>
      <c r="E56" s="1390"/>
      <c r="F56" s="1390"/>
      <c r="G56" s="1390"/>
      <c r="H56" s="1390"/>
      <c r="I56" s="1390"/>
      <c r="J56" s="1390"/>
      <c r="K56" s="1390"/>
      <c r="L56" s="1390"/>
      <c r="M56" s="1391"/>
      <c r="N56" s="1392"/>
    </row>
    <row r="57" spans="1:14">
      <c r="B57" s="1393"/>
      <c r="C57" s="1394"/>
      <c r="D57" s="1394"/>
      <c r="E57" s="1394"/>
      <c r="F57" s="1394"/>
      <c r="G57" s="1394"/>
      <c r="H57" s="1394"/>
      <c r="I57" s="1394"/>
      <c r="J57" s="1394"/>
      <c r="K57" s="1394"/>
      <c r="L57" s="1394"/>
      <c r="M57" s="1394"/>
      <c r="N57" s="1395"/>
    </row>
  </sheetData>
  <mergeCells count="14">
    <mergeCell ref="D22:N23"/>
    <mergeCell ref="A1:N1"/>
    <mergeCell ref="M2:N2"/>
    <mergeCell ref="B4:N5"/>
    <mergeCell ref="D7:N8"/>
    <mergeCell ref="G20:M20"/>
    <mergeCell ref="G52:L52"/>
    <mergeCell ref="B53:N57"/>
    <mergeCell ref="G26:M26"/>
    <mergeCell ref="G30:M30"/>
    <mergeCell ref="G36:M36"/>
    <mergeCell ref="C37:N38"/>
    <mergeCell ref="G41:M41"/>
    <mergeCell ref="G50:M50"/>
  </mergeCells>
  <phoneticPr fontId="116"/>
  <dataValidations count="1">
    <dataValidation type="list" allowBlank="1" showInputMessage="1" showErrorMessage="1" sqref="B7 B12 B17 B22 B32 B45 B47 D9:D10 D13 D18:D20 D25:D26 D28:D30 D34:D36 D39:D41 D48:D50 H9 H13 H18:H19 H28:H29 H34:H35 H39:H40 H48:H49" xr:uid="{00000000-0002-0000-1E00-000000000000}">
      <formula1>"□,■"</formula1>
    </dataValidation>
  </dataValidations>
  <pageMargins left="0.7" right="0.7" top="0.75" bottom="0.75" header="0.3" footer="0.3"/>
  <pageSetup paperSize="9" scale="96" orientation="portrait" blackAndWhite="1"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D131"/>
  <sheetViews>
    <sheetView zoomScaleNormal="100" zoomScaleSheetLayoutView="100" workbookViewId="0"/>
  </sheetViews>
  <sheetFormatPr defaultColWidth="0.75" defaultRowHeight="10.5"/>
  <cols>
    <col min="1" max="1" width="0.75" style="370" customWidth="1"/>
    <col min="2" max="2" width="0.75" style="367" customWidth="1"/>
    <col min="3" max="16384" width="0.75" style="367"/>
  </cols>
  <sheetData>
    <row r="1" spans="1:108" ht="10.5" customHeight="1">
      <c r="A1" s="364"/>
      <c r="B1" s="365"/>
      <c r="C1" s="365"/>
      <c r="D1" s="365"/>
      <c r="E1" s="365"/>
      <c r="F1" s="365"/>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row>
    <row r="2" spans="1:108" ht="13.5" customHeight="1">
      <c r="A2" s="845" t="s">
        <v>3819</v>
      </c>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c r="AL2" s="845"/>
      <c r="AM2" s="845"/>
      <c r="AN2" s="845"/>
      <c r="AO2" s="845"/>
      <c r="AP2" s="845"/>
      <c r="AQ2" s="845"/>
      <c r="AR2" s="845"/>
      <c r="AS2" s="845"/>
      <c r="AT2" s="845"/>
      <c r="AU2" s="845"/>
      <c r="AV2" s="845"/>
      <c r="AW2" s="845"/>
      <c r="AX2" s="845"/>
      <c r="AY2" s="845"/>
      <c r="AZ2" s="845"/>
      <c r="BA2" s="845"/>
      <c r="BB2" s="845"/>
      <c r="BC2" s="845"/>
      <c r="BD2" s="845"/>
      <c r="BE2" s="845"/>
      <c r="BF2" s="845"/>
      <c r="BG2" s="845"/>
      <c r="BH2" s="845"/>
      <c r="BI2" s="845"/>
      <c r="BJ2" s="845"/>
      <c r="BK2" s="845"/>
      <c r="BL2" s="845"/>
      <c r="BM2" s="845"/>
      <c r="BN2" s="845"/>
      <c r="BO2" s="845"/>
      <c r="BP2" s="845"/>
      <c r="BQ2" s="845"/>
      <c r="BR2" s="845"/>
      <c r="BS2" s="845"/>
      <c r="BT2" s="845"/>
      <c r="BU2" s="845"/>
      <c r="BV2" s="845"/>
      <c r="BW2" s="845"/>
      <c r="BX2" s="845"/>
      <c r="BY2" s="845"/>
      <c r="BZ2" s="845"/>
      <c r="CA2" s="845"/>
      <c r="CB2" s="845"/>
      <c r="CC2" s="845"/>
      <c r="CD2" s="845"/>
      <c r="CE2" s="845"/>
      <c r="CF2" s="845"/>
      <c r="CG2" s="845"/>
      <c r="CH2" s="845"/>
      <c r="CI2" s="845"/>
      <c r="CJ2" s="845"/>
      <c r="CK2" s="845"/>
      <c r="CL2" s="845"/>
      <c r="CM2" s="845"/>
      <c r="CN2" s="845"/>
      <c r="CO2" s="845"/>
      <c r="CP2" s="845"/>
      <c r="CQ2" s="845"/>
      <c r="CR2" s="845"/>
      <c r="CS2" s="845"/>
      <c r="CT2" s="845"/>
      <c r="CU2" s="845"/>
      <c r="CV2" s="845"/>
      <c r="CW2" s="845"/>
      <c r="CX2" s="845"/>
      <c r="CY2" s="845"/>
      <c r="CZ2" s="845"/>
      <c r="DA2" s="845"/>
      <c r="DB2" s="845"/>
      <c r="DC2" s="845"/>
      <c r="DD2" s="845"/>
    </row>
    <row r="3" spans="1:108" ht="13.5" customHeight="1">
      <c r="A3" s="765"/>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c r="AZ3" s="766"/>
      <c r="BA3" s="766"/>
      <c r="BB3" s="766"/>
      <c r="BC3" s="766"/>
      <c r="BD3" s="766"/>
      <c r="BE3" s="766"/>
      <c r="BF3" s="766"/>
      <c r="BG3" s="766"/>
      <c r="BH3" s="766"/>
      <c r="BI3" s="766"/>
      <c r="BJ3" s="766"/>
      <c r="BK3" s="766"/>
      <c r="BL3" s="766"/>
      <c r="BM3" s="766"/>
      <c r="BN3" s="766"/>
      <c r="BO3" s="766"/>
      <c r="BP3" s="766"/>
      <c r="BQ3" s="766"/>
      <c r="BR3" s="766"/>
      <c r="BS3" s="766"/>
      <c r="BT3" s="766"/>
      <c r="BU3" s="766"/>
      <c r="BV3" s="766"/>
      <c r="BW3" s="766"/>
      <c r="BX3" s="766"/>
      <c r="BY3" s="766"/>
      <c r="BZ3" s="766"/>
      <c r="CA3" s="766"/>
      <c r="CB3" s="766"/>
      <c r="CC3" s="766"/>
      <c r="CD3" s="766"/>
      <c r="CE3" s="766"/>
      <c r="CF3" s="766"/>
      <c r="CG3" s="766"/>
      <c r="CH3" s="766"/>
      <c r="CI3" s="766"/>
      <c r="CJ3" s="766"/>
      <c r="CK3" s="766"/>
      <c r="CL3" s="766"/>
      <c r="CM3" s="766"/>
      <c r="CN3" s="766"/>
      <c r="CO3" s="766"/>
      <c r="CP3" s="766"/>
      <c r="CQ3" s="766"/>
      <c r="CR3" s="766"/>
      <c r="CS3" s="766"/>
      <c r="CT3" s="766"/>
      <c r="CU3" s="766"/>
      <c r="CV3" s="766"/>
      <c r="CW3" s="766"/>
      <c r="CX3" s="766"/>
      <c r="CY3" s="766"/>
      <c r="CZ3" s="766"/>
      <c r="DA3" s="766"/>
      <c r="DB3" s="766"/>
      <c r="DC3" s="766"/>
      <c r="DD3" s="766"/>
    </row>
    <row r="4" spans="1:108" ht="13.5" customHeight="1">
      <c r="A4" s="368"/>
      <c r="B4" s="369"/>
      <c r="C4" s="370" t="s">
        <v>3409</v>
      </c>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row>
    <row r="5" spans="1:108" ht="13.5" customHeight="1">
      <c r="A5" s="368"/>
      <c r="B5" s="369"/>
      <c r="C5" s="368"/>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9"/>
      <c r="BI5" s="369"/>
      <c r="BJ5" s="369"/>
      <c r="BK5" s="369"/>
      <c r="BL5" s="369"/>
      <c r="BM5" s="369"/>
      <c r="BN5" s="369"/>
      <c r="BO5" s="369"/>
      <c r="BP5" s="369"/>
      <c r="BQ5" s="369"/>
      <c r="BR5" s="369"/>
      <c r="BS5" s="369"/>
      <c r="BT5" s="369"/>
      <c r="BU5" s="369"/>
      <c r="BV5" s="369"/>
      <c r="BW5" s="369"/>
      <c r="BX5" s="369"/>
      <c r="BY5" s="369"/>
      <c r="BZ5" s="369"/>
      <c r="CA5" s="369"/>
      <c r="CB5" s="369"/>
      <c r="CC5" s="369"/>
      <c r="CD5" s="369"/>
      <c r="CE5" s="369"/>
      <c r="CF5" s="369"/>
      <c r="CG5" s="369"/>
      <c r="CH5" s="369"/>
      <c r="CI5" s="369"/>
      <c r="CJ5" s="369"/>
      <c r="CK5" s="369"/>
      <c r="CL5" s="369"/>
      <c r="CM5" s="369"/>
      <c r="CN5" s="369"/>
      <c r="CO5" s="369"/>
      <c r="CP5" s="369"/>
      <c r="CQ5" s="369"/>
      <c r="CR5" s="369"/>
      <c r="CS5" s="369"/>
      <c r="CT5" s="369"/>
      <c r="CU5" s="369"/>
      <c r="CV5" s="369"/>
      <c r="CW5" s="369"/>
      <c r="CX5" s="369"/>
      <c r="CY5" s="369"/>
      <c r="CZ5" s="369"/>
      <c r="DA5" s="369"/>
      <c r="DB5" s="369"/>
      <c r="DC5" s="369"/>
      <c r="DD5" s="369"/>
    </row>
    <row r="6" spans="1:108" ht="13.5" customHeight="1">
      <c r="A6" s="368"/>
      <c r="B6" s="369"/>
      <c r="C6" s="368"/>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69"/>
      <c r="AZ6" s="369"/>
      <c r="BA6" s="369"/>
      <c r="BB6" s="369"/>
      <c r="BC6" s="369"/>
      <c r="BD6" s="369"/>
      <c r="BE6" s="369"/>
      <c r="BF6" s="369"/>
      <c r="BG6" s="369"/>
      <c r="BH6" s="369"/>
      <c r="BI6" s="369"/>
      <c r="BJ6" s="369"/>
      <c r="BK6" s="369"/>
      <c r="BL6" s="369"/>
      <c r="BM6" s="369"/>
      <c r="BN6" s="369"/>
      <c r="BO6" s="369"/>
      <c r="BP6" s="369"/>
      <c r="BQ6" s="369"/>
      <c r="BR6" s="369"/>
      <c r="BS6" s="369"/>
      <c r="BT6" s="369"/>
      <c r="BU6" s="369"/>
      <c r="BV6" s="369"/>
      <c r="BW6" s="369"/>
      <c r="BX6" s="369"/>
      <c r="BY6" s="369"/>
      <c r="BZ6" s="369"/>
      <c r="CA6" s="369"/>
      <c r="CB6" s="369"/>
      <c r="CC6" s="369"/>
      <c r="CD6" s="369"/>
      <c r="CE6" s="369"/>
      <c r="CF6" s="369"/>
      <c r="CG6" s="369"/>
      <c r="CH6" s="369"/>
      <c r="CI6" s="369"/>
      <c r="CJ6" s="369"/>
      <c r="CK6" s="369"/>
      <c r="CL6" s="369"/>
      <c r="CM6" s="369"/>
      <c r="CN6" s="369"/>
      <c r="CO6" s="369"/>
      <c r="CP6" s="369"/>
      <c r="CQ6" s="369"/>
      <c r="CR6" s="369"/>
      <c r="CS6" s="369"/>
      <c r="CT6" s="369"/>
      <c r="CU6" s="369"/>
      <c r="CV6" s="369"/>
      <c r="CW6" s="369"/>
      <c r="CX6" s="369"/>
      <c r="CY6" s="369"/>
      <c r="CZ6" s="369"/>
      <c r="DA6" s="369"/>
      <c r="DB6" s="369"/>
      <c r="DC6" s="369"/>
      <c r="DD6" s="369"/>
    </row>
    <row r="7" spans="1:108" ht="13.5" customHeight="1">
      <c r="A7" s="368"/>
      <c r="B7" s="369"/>
      <c r="C7" s="368"/>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369"/>
      <c r="BN7" s="369"/>
      <c r="BO7" s="369"/>
      <c r="BP7" s="369"/>
      <c r="BQ7" s="369"/>
      <c r="BR7" s="369"/>
      <c r="BS7" s="369"/>
      <c r="BT7" s="369"/>
      <c r="BU7" s="369"/>
      <c r="BV7" s="369"/>
      <c r="BW7" s="369"/>
      <c r="BX7" s="369"/>
      <c r="BY7" s="369"/>
      <c r="BZ7" s="369"/>
      <c r="CA7" s="369"/>
      <c r="CB7" s="369"/>
      <c r="CC7" s="369"/>
      <c r="CD7" s="369"/>
      <c r="CE7" s="369"/>
      <c r="CF7" s="369"/>
      <c r="CG7" s="369"/>
      <c r="CH7" s="369"/>
      <c r="CI7" s="369"/>
      <c r="CJ7" s="369"/>
      <c r="CK7" s="369"/>
      <c r="CL7" s="369"/>
      <c r="CM7" s="369"/>
      <c r="CN7" s="369"/>
      <c r="CO7" s="369"/>
      <c r="CP7" s="369"/>
      <c r="CQ7" s="369"/>
      <c r="CR7" s="369"/>
      <c r="CS7" s="369"/>
      <c r="CT7" s="369"/>
      <c r="CU7" s="369"/>
      <c r="CV7" s="369"/>
      <c r="CW7" s="369"/>
      <c r="CX7" s="369"/>
      <c r="CY7" s="369"/>
      <c r="CZ7" s="369"/>
      <c r="DA7" s="369"/>
      <c r="DB7" s="369"/>
      <c r="DC7" s="369"/>
      <c r="DD7" s="369"/>
    </row>
    <row r="8" spans="1:108" ht="13.5" customHeight="1">
      <c r="A8" s="368"/>
      <c r="B8" s="369"/>
      <c r="C8" s="368"/>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row>
    <row r="9" spans="1:108" ht="13.5" customHeight="1">
      <c r="A9" s="368"/>
      <c r="B9" s="369"/>
      <c r="C9" s="368"/>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row>
    <row r="10" spans="1:108" ht="13.5" customHeight="1">
      <c r="A10" s="368"/>
      <c r="B10" s="369"/>
      <c r="C10" s="368"/>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c r="BP10" s="369"/>
      <c r="BQ10" s="369"/>
      <c r="BR10" s="369"/>
      <c r="BS10" s="369"/>
      <c r="BT10" s="369"/>
      <c r="BU10" s="369"/>
      <c r="BV10" s="369"/>
      <c r="BW10" s="369"/>
      <c r="BX10" s="369"/>
      <c r="BY10" s="369"/>
      <c r="BZ10" s="369"/>
      <c r="CA10" s="369"/>
      <c r="CB10" s="369"/>
      <c r="CC10" s="369"/>
      <c r="CD10" s="369"/>
      <c r="CE10" s="369"/>
      <c r="CF10" s="369"/>
      <c r="CG10" s="369"/>
      <c r="CH10" s="369"/>
      <c r="CI10" s="369"/>
      <c r="CJ10" s="369"/>
      <c r="CK10" s="369"/>
      <c r="CL10" s="369"/>
      <c r="CM10" s="369"/>
      <c r="CN10" s="369"/>
      <c r="CO10" s="369"/>
      <c r="CP10" s="369"/>
      <c r="CQ10" s="369"/>
      <c r="CR10" s="369"/>
      <c r="CS10" s="369"/>
      <c r="CT10" s="369"/>
      <c r="CU10" s="369"/>
      <c r="CV10" s="369"/>
      <c r="CW10" s="369"/>
      <c r="CX10" s="369"/>
      <c r="CY10" s="369"/>
      <c r="CZ10" s="369"/>
      <c r="DA10" s="369"/>
      <c r="DB10" s="369"/>
      <c r="DC10" s="369"/>
      <c r="DD10" s="369"/>
    </row>
    <row r="11" spans="1:108" ht="13.5" customHeight="1">
      <c r="A11" s="368"/>
      <c r="B11" s="369"/>
      <c r="C11" s="368"/>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row>
    <row r="12" spans="1:108" ht="13.5" customHeight="1">
      <c r="A12" s="368"/>
      <c r="B12" s="369"/>
      <c r="C12" s="368"/>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row>
    <row r="13" spans="1:108" ht="13.5" customHeight="1">
      <c r="A13" s="368"/>
      <c r="B13" s="369"/>
      <c r="C13" s="368"/>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69"/>
      <c r="BC13" s="369"/>
      <c r="BD13" s="369"/>
      <c r="BE13" s="369"/>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69"/>
      <c r="CJ13" s="369"/>
      <c r="CK13" s="369"/>
      <c r="CL13" s="369"/>
      <c r="CM13" s="369"/>
      <c r="CN13" s="369"/>
      <c r="CO13" s="369"/>
      <c r="CP13" s="369"/>
      <c r="CQ13" s="369"/>
      <c r="CR13" s="369"/>
      <c r="CS13" s="369"/>
      <c r="CT13" s="369"/>
      <c r="CU13" s="369"/>
      <c r="CV13" s="369"/>
      <c r="CW13" s="369"/>
      <c r="CX13" s="369"/>
      <c r="CY13" s="369"/>
      <c r="CZ13" s="369"/>
      <c r="DA13" s="369"/>
      <c r="DB13" s="369"/>
      <c r="DC13" s="369"/>
      <c r="DD13" s="369"/>
    </row>
    <row r="14" spans="1:108" ht="13.5" customHeight="1">
      <c r="A14" s="368"/>
      <c r="B14" s="369"/>
      <c r="C14" s="368"/>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69"/>
      <c r="CT14" s="369"/>
      <c r="CU14" s="369"/>
      <c r="CV14" s="369"/>
      <c r="CW14" s="369"/>
      <c r="CX14" s="369"/>
      <c r="CY14" s="369"/>
      <c r="CZ14" s="369"/>
      <c r="DA14" s="369"/>
      <c r="DB14" s="369"/>
      <c r="DC14" s="369"/>
      <c r="DD14" s="369"/>
    </row>
    <row r="15" spans="1:108" ht="13.5" customHeight="1">
      <c r="A15" s="368"/>
      <c r="B15" s="369"/>
      <c r="C15" s="368"/>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69"/>
      <c r="AZ15" s="369"/>
      <c r="BA15" s="369"/>
      <c r="BB15" s="369"/>
      <c r="BC15" s="369"/>
      <c r="BD15" s="369"/>
      <c r="BE15" s="369"/>
      <c r="BF15" s="369"/>
      <c r="BG15" s="369"/>
      <c r="BH15" s="369"/>
      <c r="BI15" s="369"/>
      <c r="BJ15" s="369"/>
      <c r="BK15" s="369"/>
      <c r="BL15" s="369"/>
      <c r="BM15" s="369"/>
      <c r="BN15" s="369"/>
      <c r="BO15" s="369"/>
      <c r="BP15" s="369"/>
      <c r="BQ15" s="369"/>
      <c r="BR15" s="369"/>
      <c r="BS15" s="369"/>
      <c r="BT15" s="369"/>
      <c r="BU15" s="369"/>
      <c r="BV15" s="369"/>
      <c r="BW15" s="369"/>
      <c r="BX15" s="369"/>
      <c r="BY15" s="369"/>
      <c r="BZ15" s="369"/>
      <c r="CA15" s="369"/>
      <c r="CB15" s="369"/>
      <c r="CC15" s="369"/>
      <c r="CD15" s="369"/>
      <c r="CE15" s="369"/>
      <c r="CF15" s="369"/>
      <c r="CG15" s="369"/>
      <c r="CH15" s="369"/>
      <c r="CI15" s="369"/>
      <c r="CJ15" s="369"/>
      <c r="CK15" s="369"/>
      <c r="CL15" s="369"/>
      <c r="CM15" s="369"/>
      <c r="CN15" s="369"/>
      <c r="CO15" s="369"/>
      <c r="CP15" s="369"/>
      <c r="CQ15" s="369"/>
      <c r="CR15" s="369"/>
      <c r="CS15" s="369"/>
      <c r="CT15" s="369"/>
      <c r="CU15" s="369"/>
      <c r="CV15" s="369"/>
      <c r="CW15" s="369"/>
      <c r="CX15" s="369"/>
      <c r="CY15" s="369"/>
      <c r="CZ15" s="369"/>
      <c r="DA15" s="369"/>
      <c r="DB15" s="369"/>
      <c r="DC15" s="369"/>
      <c r="DD15" s="369"/>
    </row>
    <row r="16" spans="1:108" ht="13.5" customHeight="1">
      <c r="A16" s="368"/>
      <c r="B16" s="369"/>
      <c r="C16" s="368"/>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69"/>
      <c r="DB16" s="369"/>
      <c r="DC16" s="369"/>
      <c r="DD16" s="369"/>
    </row>
    <row r="17" spans="1:108" ht="13.5" customHeight="1">
      <c r="A17" s="368"/>
      <c r="B17" s="369"/>
      <c r="C17" s="368"/>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c r="CL17" s="369"/>
      <c r="CM17" s="369"/>
      <c r="CN17" s="369"/>
      <c r="CO17" s="369"/>
      <c r="CP17" s="369"/>
      <c r="CQ17" s="369"/>
      <c r="CR17" s="369"/>
      <c r="CS17" s="369"/>
      <c r="CT17" s="369"/>
      <c r="CU17" s="369"/>
      <c r="CV17" s="369"/>
      <c r="CW17" s="369"/>
      <c r="CX17" s="369"/>
      <c r="CY17" s="369"/>
      <c r="CZ17" s="369"/>
      <c r="DA17" s="369"/>
      <c r="DB17" s="369"/>
      <c r="DC17" s="369"/>
      <c r="DD17" s="369"/>
    </row>
    <row r="18" spans="1:108" ht="13.5" customHeight="1">
      <c r="A18" s="368"/>
      <c r="B18" s="369"/>
      <c r="C18" s="368"/>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c r="CL18" s="369"/>
      <c r="CM18" s="369"/>
      <c r="CN18" s="369"/>
      <c r="CO18" s="369"/>
      <c r="CP18" s="369"/>
      <c r="CQ18" s="369"/>
      <c r="CR18" s="369"/>
      <c r="CS18" s="369"/>
      <c r="CT18" s="369"/>
      <c r="CU18" s="369"/>
      <c r="CV18" s="369"/>
      <c r="CW18" s="369"/>
      <c r="CX18" s="369"/>
      <c r="CY18" s="369"/>
      <c r="CZ18" s="369"/>
      <c r="DA18" s="369"/>
      <c r="DB18" s="369"/>
      <c r="DC18" s="369"/>
      <c r="DD18" s="369"/>
    </row>
    <row r="19" spans="1:108" ht="13.5" customHeight="1">
      <c r="A19" s="368"/>
      <c r="B19" s="369"/>
      <c r="C19" s="368"/>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69"/>
      <c r="CJ19" s="369"/>
      <c r="CK19" s="369"/>
      <c r="CL19" s="369"/>
      <c r="CM19" s="369"/>
      <c r="CN19" s="369"/>
      <c r="CO19" s="369"/>
      <c r="CP19" s="369"/>
      <c r="CQ19" s="369"/>
      <c r="CR19" s="369"/>
      <c r="CS19" s="369"/>
      <c r="CT19" s="369"/>
      <c r="CU19" s="369"/>
      <c r="CV19" s="369"/>
      <c r="CW19" s="369"/>
      <c r="CX19" s="369"/>
      <c r="CY19" s="369"/>
      <c r="CZ19" s="369"/>
      <c r="DA19" s="369"/>
      <c r="DB19" s="369"/>
      <c r="DC19" s="369"/>
      <c r="DD19" s="369"/>
    </row>
    <row r="20" spans="1:108" ht="13.5" customHeight="1">
      <c r="A20" s="368"/>
      <c r="B20" s="369"/>
      <c r="C20" s="368"/>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69"/>
      <c r="CP20" s="369"/>
      <c r="CQ20" s="369"/>
      <c r="CR20" s="369"/>
      <c r="CS20" s="369"/>
      <c r="CT20" s="369"/>
      <c r="CU20" s="369"/>
      <c r="CV20" s="369"/>
      <c r="CW20" s="369"/>
      <c r="CX20" s="369"/>
      <c r="CY20" s="369"/>
      <c r="CZ20" s="369"/>
      <c r="DA20" s="369"/>
      <c r="DB20" s="369"/>
      <c r="DC20" s="369"/>
      <c r="DD20" s="369"/>
    </row>
    <row r="21" spans="1:108" ht="13.5" customHeight="1">
      <c r="A21" s="368"/>
      <c r="B21" s="369"/>
      <c r="C21" s="368"/>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369"/>
      <c r="CG21" s="369"/>
      <c r="CH21" s="369"/>
      <c r="CI21" s="369"/>
      <c r="CJ21" s="369"/>
      <c r="CK21" s="369"/>
      <c r="CL21" s="369"/>
      <c r="CM21" s="369"/>
      <c r="CN21" s="369"/>
      <c r="CO21" s="369"/>
      <c r="CP21" s="369"/>
      <c r="CQ21" s="369"/>
      <c r="CR21" s="369"/>
      <c r="CS21" s="369"/>
      <c r="CT21" s="369"/>
      <c r="CU21" s="369"/>
      <c r="CV21" s="369"/>
      <c r="CW21" s="369"/>
      <c r="CX21" s="369"/>
      <c r="CY21" s="369"/>
      <c r="CZ21" s="369"/>
      <c r="DA21" s="369"/>
      <c r="DB21" s="369"/>
      <c r="DC21" s="369"/>
      <c r="DD21" s="369"/>
    </row>
    <row r="22" spans="1:108" ht="13.5" customHeight="1">
      <c r="A22" s="368"/>
      <c r="B22" s="369"/>
      <c r="C22" s="368"/>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369"/>
      <c r="CH22" s="369"/>
      <c r="CI22" s="369"/>
      <c r="CJ22" s="369"/>
      <c r="CK22" s="369"/>
      <c r="CL22" s="369"/>
      <c r="CM22" s="369"/>
      <c r="CN22" s="369"/>
      <c r="CO22" s="369"/>
      <c r="CP22" s="369"/>
      <c r="CQ22" s="369"/>
      <c r="CR22" s="369"/>
      <c r="CS22" s="369"/>
      <c r="CT22" s="369"/>
      <c r="CU22" s="369"/>
      <c r="CV22" s="369"/>
      <c r="CW22" s="369"/>
      <c r="CX22" s="369"/>
      <c r="CY22" s="369"/>
      <c r="CZ22" s="369"/>
      <c r="DA22" s="369"/>
      <c r="DB22" s="369"/>
      <c r="DC22" s="369"/>
      <c r="DD22" s="369"/>
    </row>
    <row r="23" spans="1:108" ht="13.5" customHeight="1">
      <c r="A23" s="368"/>
      <c r="B23" s="369"/>
      <c r="C23" s="368"/>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69"/>
      <c r="BZ23" s="369"/>
      <c r="CA23" s="369"/>
      <c r="CB23" s="369"/>
      <c r="CC23" s="369"/>
      <c r="CD23" s="369"/>
      <c r="CE23" s="369"/>
      <c r="CF23" s="369"/>
      <c r="CG23" s="369"/>
      <c r="CH23" s="369"/>
      <c r="CI23" s="369"/>
      <c r="CJ23" s="369"/>
      <c r="CK23" s="369"/>
      <c r="CL23" s="369"/>
      <c r="CM23" s="369"/>
      <c r="CN23" s="369"/>
      <c r="CO23" s="369"/>
      <c r="CP23" s="369"/>
      <c r="CQ23" s="369"/>
      <c r="CR23" s="369"/>
      <c r="CS23" s="369"/>
      <c r="CT23" s="369"/>
      <c r="CU23" s="369"/>
      <c r="CV23" s="369"/>
      <c r="CW23" s="369"/>
      <c r="CX23" s="369"/>
      <c r="CY23" s="369"/>
      <c r="CZ23" s="369"/>
      <c r="DA23" s="369"/>
      <c r="DB23" s="369"/>
      <c r="DC23" s="369"/>
      <c r="DD23" s="369"/>
    </row>
    <row r="24" spans="1:108" ht="13.5" customHeight="1">
      <c r="A24" s="368"/>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369"/>
      <c r="BB24" s="369"/>
      <c r="BC24" s="369"/>
      <c r="BD24" s="369"/>
      <c r="BE24" s="369"/>
      <c r="BF24" s="369"/>
      <c r="BG24" s="369"/>
      <c r="BH24" s="369"/>
      <c r="BI24" s="369"/>
      <c r="BJ24" s="369"/>
      <c r="BK24" s="369"/>
      <c r="BL24" s="369"/>
      <c r="BM24" s="369"/>
      <c r="BN24" s="369"/>
      <c r="BO24" s="369"/>
      <c r="BP24" s="369"/>
      <c r="BQ24" s="369"/>
      <c r="BR24" s="369"/>
      <c r="BS24" s="369"/>
      <c r="BT24" s="369"/>
      <c r="BU24" s="369"/>
      <c r="BV24" s="369"/>
      <c r="BW24" s="369"/>
      <c r="BX24" s="369"/>
      <c r="BY24" s="369"/>
      <c r="BZ24" s="369"/>
      <c r="CA24" s="369"/>
      <c r="CB24" s="369"/>
      <c r="CC24" s="369"/>
      <c r="CD24" s="369"/>
      <c r="CE24" s="369"/>
      <c r="CF24" s="369"/>
      <c r="CG24" s="369"/>
      <c r="CH24" s="369"/>
      <c r="CI24" s="369"/>
      <c r="CJ24" s="369"/>
      <c r="CK24" s="369"/>
      <c r="CL24" s="369"/>
      <c r="CM24" s="369"/>
      <c r="CN24" s="369"/>
      <c r="CO24" s="369"/>
      <c r="CP24" s="369"/>
      <c r="CQ24" s="369"/>
      <c r="CR24" s="369"/>
      <c r="CS24" s="369"/>
      <c r="CT24" s="369"/>
      <c r="CU24" s="369"/>
      <c r="CV24" s="369"/>
      <c r="CW24" s="369"/>
      <c r="CX24" s="369"/>
      <c r="CY24" s="369"/>
      <c r="CZ24" s="369"/>
      <c r="DA24" s="369"/>
      <c r="DB24" s="369"/>
      <c r="DC24" s="369"/>
      <c r="DD24" s="369"/>
    </row>
    <row r="25" spans="1:108" ht="13.5" customHeight="1">
      <c r="A25" s="371"/>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row>
    <row r="26" spans="1:108" ht="13.5" customHeight="1">
      <c r="A26" s="371"/>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2"/>
      <c r="AL26" s="372"/>
      <c r="AM26" s="372"/>
      <c r="AN26" s="372"/>
      <c r="AO26" s="372"/>
      <c r="AP26" s="372"/>
      <c r="AQ26" s="372"/>
      <c r="AR26" s="372"/>
      <c r="AS26" s="372"/>
      <c r="AT26" s="372"/>
      <c r="AU26" s="372"/>
      <c r="AV26" s="372"/>
      <c r="AW26" s="372"/>
      <c r="AX26" s="372"/>
      <c r="AY26" s="372"/>
      <c r="AZ26" s="372"/>
      <c r="BA26" s="372"/>
      <c r="BB26" s="372"/>
      <c r="BC26" s="372"/>
      <c r="BD26" s="372"/>
      <c r="BE26" s="372"/>
      <c r="BF26" s="372"/>
      <c r="BG26" s="372"/>
      <c r="BH26" s="372"/>
      <c r="BI26" s="372"/>
      <c r="BJ26" s="372"/>
      <c r="BK26" s="372"/>
      <c r="BL26" s="372"/>
      <c r="BM26" s="372"/>
      <c r="BN26" s="372"/>
      <c r="BO26" s="372"/>
      <c r="BP26" s="372"/>
      <c r="BQ26" s="372"/>
      <c r="BR26" s="372"/>
      <c r="BS26" s="372"/>
      <c r="BT26" s="372"/>
      <c r="BU26" s="372"/>
      <c r="BV26" s="372"/>
      <c r="BW26" s="372"/>
      <c r="BX26" s="372"/>
      <c r="BY26" s="372"/>
      <c r="BZ26" s="372"/>
      <c r="CA26" s="372"/>
      <c r="CB26" s="372"/>
      <c r="CC26" s="372"/>
      <c r="CD26" s="372"/>
      <c r="CE26" s="372"/>
      <c r="CF26" s="372"/>
      <c r="CG26" s="372"/>
      <c r="CH26" s="372"/>
      <c r="CI26" s="372"/>
      <c r="CJ26" s="372"/>
      <c r="CK26" s="372"/>
      <c r="CL26" s="372"/>
      <c r="CM26" s="372"/>
      <c r="CN26" s="372"/>
      <c r="CO26" s="372"/>
      <c r="CP26" s="372"/>
      <c r="CQ26" s="372"/>
      <c r="CR26" s="372"/>
      <c r="CS26" s="372"/>
      <c r="CT26" s="372"/>
      <c r="CU26" s="372"/>
      <c r="CV26" s="372"/>
      <c r="CW26" s="372"/>
      <c r="CX26" s="372"/>
      <c r="CY26" s="372"/>
      <c r="CZ26" s="372"/>
      <c r="DA26" s="372"/>
      <c r="DB26" s="372"/>
      <c r="DC26" s="372"/>
      <c r="DD26" s="372"/>
    </row>
    <row r="27" spans="1:108" ht="13.5" customHeight="1">
      <c r="A27" s="368"/>
      <c r="B27" s="369"/>
      <c r="C27" s="370" t="s">
        <v>3820</v>
      </c>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69"/>
      <c r="CL27" s="369"/>
      <c r="CM27" s="369"/>
      <c r="CN27" s="369"/>
      <c r="CO27" s="369"/>
      <c r="CP27" s="369"/>
      <c r="CQ27" s="369"/>
      <c r="CR27" s="369"/>
      <c r="CS27" s="369"/>
      <c r="CT27" s="369"/>
      <c r="CU27" s="369"/>
      <c r="CV27" s="369"/>
      <c r="CW27" s="369"/>
      <c r="CX27" s="369"/>
      <c r="CY27" s="369"/>
      <c r="CZ27" s="369"/>
      <c r="DA27" s="369"/>
      <c r="DB27" s="369"/>
      <c r="DC27" s="369"/>
      <c r="DD27" s="369"/>
    </row>
    <row r="28" spans="1:108" ht="13.5" customHeight="1">
      <c r="A28" s="368"/>
      <c r="B28" s="369"/>
      <c r="C28" s="368"/>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369"/>
      <c r="BL28" s="369"/>
      <c r="BM28" s="369"/>
      <c r="BN28" s="369"/>
      <c r="BO28" s="369"/>
      <c r="BP28" s="369"/>
      <c r="BQ28" s="369"/>
      <c r="BR28" s="369"/>
      <c r="BS28" s="369"/>
      <c r="BT28" s="369"/>
      <c r="BU28" s="369"/>
      <c r="BV28" s="369"/>
      <c r="BW28" s="369"/>
      <c r="BX28" s="369"/>
      <c r="BY28" s="369"/>
      <c r="BZ28" s="369"/>
      <c r="CA28" s="369"/>
      <c r="CB28" s="369"/>
      <c r="CC28" s="369"/>
      <c r="CD28" s="369"/>
      <c r="CE28" s="369"/>
      <c r="CF28" s="369"/>
      <c r="CG28" s="369"/>
      <c r="CH28" s="369"/>
      <c r="CI28" s="369"/>
      <c r="CJ28" s="369"/>
      <c r="CK28" s="369"/>
      <c r="CL28" s="369"/>
      <c r="CM28" s="369"/>
      <c r="CN28" s="369"/>
      <c r="CO28" s="369"/>
      <c r="CP28" s="369"/>
      <c r="CQ28" s="369"/>
      <c r="CR28" s="369"/>
      <c r="CS28" s="369"/>
      <c r="CT28" s="369"/>
      <c r="CU28" s="369"/>
      <c r="CV28" s="369"/>
      <c r="CW28" s="369"/>
      <c r="CX28" s="369"/>
      <c r="CY28" s="369"/>
      <c r="CZ28" s="369"/>
      <c r="DA28" s="369"/>
      <c r="DB28" s="369"/>
      <c r="DC28" s="369"/>
      <c r="DD28" s="369"/>
    </row>
    <row r="29" spans="1:108" ht="13.5" customHeight="1">
      <c r="A29" s="368"/>
      <c r="B29" s="369"/>
      <c r="C29" s="368"/>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c r="BF29" s="369"/>
      <c r="BG29" s="369"/>
      <c r="BH29" s="369"/>
      <c r="BI29" s="369"/>
      <c r="BJ29" s="369"/>
      <c r="BK29" s="369"/>
      <c r="BL29" s="369"/>
      <c r="BM29" s="369"/>
      <c r="BN29" s="369"/>
      <c r="BO29" s="369"/>
      <c r="BP29" s="369"/>
      <c r="BQ29" s="369"/>
      <c r="BR29" s="369"/>
      <c r="BS29" s="369"/>
      <c r="BT29" s="369"/>
      <c r="BU29" s="369"/>
      <c r="BV29" s="369"/>
      <c r="BW29" s="369"/>
      <c r="BX29" s="369"/>
      <c r="BY29" s="369"/>
      <c r="BZ29" s="369"/>
      <c r="CA29" s="369"/>
      <c r="CB29" s="369"/>
      <c r="CC29" s="369"/>
      <c r="CD29" s="369"/>
      <c r="CE29" s="369"/>
      <c r="CF29" s="369"/>
      <c r="CG29" s="369"/>
      <c r="CH29" s="369"/>
      <c r="CI29" s="369"/>
      <c r="CJ29" s="369"/>
      <c r="CK29" s="369"/>
      <c r="CL29" s="369"/>
      <c r="CM29" s="369"/>
      <c r="CN29" s="369"/>
      <c r="CO29" s="369"/>
      <c r="CP29" s="369"/>
      <c r="CQ29" s="369"/>
      <c r="CR29" s="369"/>
      <c r="CS29" s="369"/>
      <c r="CT29" s="369"/>
      <c r="CU29" s="369"/>
      <c r="CV29" s="369"/>
      <c r="CW29" s="369"/>
      <c r="CX29" s="369"/>
      <c r="CY29" s="369"/>
      <c r="CZ29" s="369"/>
      <c r="DA29" s="369"/>
      <c r="DB29" s="369"/>
      <c r="DC29" s="369"/>
      <c r="DD29" s="369"/>
    </row>
    <row r="30" spans="1:108" ht="13.5" customHeight="1">
      <c r="A30" s="368"/>
      <c r="B30" s="369"/>
      <c r="C30" s="368"/>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69"/>
      <c r="BN30" s="369"/>
      <c r="BO30" s="369"/>
      <c r="BP30" s="369"/>
      <c r="BQ30" s="369"/>
      <c r="BR30" s="369"/>
      <c r="BS30" s="369"/>
      <c r="BT30" s="369"/>
      <c r="BU30" s="369"/>
      <c r="BV30" s="369"/>
      <c r="BW30" s="369"/>
      <c r="BX30" s="369"/>
      <c r="BY30" s="369"/>
      <c r="BZ30" s="369"/>
      <c r="CA30" s="369"/>
      <c r="CB30" s="369"/>
      <c r="CC30" s="369"/>
      <c r="CD30" s="369"/>
      <c r="CE30" s="369"/>
      <c r="CF30" s="369"/>
      <c r="CG30" s="369"/>
      <c r="CH30" s="369"/>
      <c r="CI30" s="369"/>
      <c r="CJ30" s="369"/>
      <c r="CK30" s="369"/>
      <c r="CL30" s="369"/>
      <c r="CM30" s="369"/>
      <c r="CN30" s="369"/>
      <c r="CO30" s="369"/>
      <c r="CP30" s="369"/>
      <c r="CQ30" s="369"/>
      <c r="CR30" s="369"/>
      <c r="CS30" s="369"/>
      <c r="CT30" s="369"/>
      <c r="CU30" s="369"/>
      <c r="CV30" s="369"/>
      <c r="CW30" s="369"/>
      <c r="CX30" s="369"/>
      <c r="CY30" s="369"/>
      <c r="CZ30" s="369"/>
      <c r="DA30" s="369"/>
      <c r="DB30" s="369"/>
      <c r="DC30" s="369"/>
      <c r="DD30" s="369"/>
    </row>
    <row r="31" spans="1:108" ht="13.5" customHeight="1">
      <c r="A31" s="368"/>
      <c r="B31" s="369"/>
      <c r="C31" s="368"/>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369"/>
      <c r="AS31" s="369"/>
      <c r="AT31" s="369"/>
      <c r="AU31" s="369"/>
      <c r="AV31" s="369"/>
      <c r="AW31" s="369"/>
      <c r="AX31" s="369"/>
      <c r="AY31" s="369"/>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c r="BW31" s="369"/>
      <c r="BX31" s="369"/>
      <c r="BY31" s="369"/>
      <c r="BZ31" s="369"/>
      <c r="CA31" s="369"/>
      <c r="CB31" s="369"/>
      <c r="CC31" s="369"/>
      <c r="CD31" s="369"/>
      <c r="CE31" s="369"/>
      <c r="CF31" s="369"/>
      <c r="CG31" s="369"/>
      <c r="CH31" s="369"/>
      <c r="CI31" s="369"/>
      <c r="CJ31" s="369"/>
      <c r="CK31" s="369"/>
      <c r="CL31" s="369"/>
      <c r="CM31" s="369"/>
      <c r="CN31" s="369"/>
      <c r="CO31" s="369"/>
      <c r="CP31" s="369"/>
      <c r="CQ31" s="369"/>
      <c r="CR31" s="369"/>
      <c r="CS31" s="369"/>
      <c r="CT31" s="369"/>
      <c r="CU31" s="369"/>
      <c r="CV31" s="369"/>
      <c r="CW31" s="369"/>
      <c r="CX31" s="369"/>
      <c r="CY31" s="369"/>
      <c r="CZ31" s="369"/>
      <c r="DA31" s="369"/>
      <c r="DB31" s="369"/>
      <c r="DC31" s="369"/>
      <c r="DD31" s="369"/>
    </row>
    <row r="32" spans="1:108" ht="13.5" customHeight="1">
      <c r="A32" s="368"/>
      <c r="B32" s="369"/>
      <c r="C32" s="368"/>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c r="AG32" s="369"/>
      <c r="AH32" s="369"/>
      <c r="AI32" s="369"/>
      <c r="AJ32" s="369"/>
      <c r="AK32" s="369"/>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9"/>
      <c r="BS32" s="369"/>
      <c r="BT32" s="369"/>
      <c r="BU32" s="369"/>
      <c r="BV32" s="369"/>
      <c r="BW32" s="369"/>
      <c r="BX32" s="369"/>
      <c r="BY32" s="369"/>
      <c r="BZ32" s="369"/>
      <c r="CA32" s="369"/>
      <c r="CB32" s="369"/>
      <c r="CC32" s="369"/>
      <c r="CD32" s="369"/>
      <c r="CE32" s="369"/>
      <c r="CF32" s="369"/>
      <c r="CG32" s="369"/>
      <c r="CH32" s="369"/>
      <c r="CI32" s="369"/>
      <c r="CJ32" s="369"/>
      <c r="CK32" s="369"/>
      <c r="CL32" s="369"/>
      <c r="CM32" s="369"/>
      <c r="CN32" s="369"/>
      <c r="CO32" s="369"/>
      <c r="CP32" s="369"/>
      <c r="CQ32" s="369"/>
      <c r="CR32" s="369"/>
      <c r="CS32" s="369"/>
      <c r="CT32" s="369"/>
      <c r="CU32" s="369"/>
      <c r="CV32" s="369"/>
      <c r="CW32" s="369"/>
      <c r="CX32" s="369"/>
      <c r="CY32" s="369"/>
      <c r="CZ32" s="369"/>
      <c r="DA32" s="369"/>
      <c r="DB32" s="369"/>
      <c r="DC32" s="369"/>
      <c r="DD32" s="369"/>
    </row>
    <row r="33" spans="1:108" ht="13.5" customHeight="1">
      <c r="A33" s="368"/>
      <c r="B33" s="369"/>
      <c r="C33" s="368"/>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9"/>
      <c r="BS33" s="369"/>
      <c r="BT33" s="369"/>
      <c r="BU33" s="369"/>
      <c r="BV33" s="369"/>
      <c r="BW33" s="369"/>
      <c r="BX33" s="369"/>
      <c r="BY33" s="369"/>
      <c r="BZ33" s="369"/>
      <c r="CA33" s="369"/>
      <c r="CB33" s="369"/>
      <c r="CC33" s="369"/>
      <c r="CD33" s="369"/>
      <c r="CE33" s="369"/>
      <c r="CF33" s="369"/>
      <c r="CG33" s="369"/>
      <c r="CH33" s="369"/>
      <c r="CI33" s="369"/>
      <c r="CJ33" s="369"/>
      <c r="CK33" s="369"/>
      <c r="CL33" s="369"/>
      <c r="CM33" s="369"/>
      <c r="CN33" s="369"/>
      <c r="CO33" s="369"/>
      <c r="CP33" s="369"/>
      <c r="CQ33" s="369"/>
      <c r="CR33" s="369"/>
      <c r="CS33" s="369"/>
      <c r="CT33" s="369"/>
      <c r="CU33" s="369"/>
      <c r="CV33" s="369"/>
      <c r="CW33" s="369"/>
      <c r="CX33" s="369"/>
      <c r="CY33" s="369"/>
      <c r="CZ33" s="369"/>
      <c r="DA33" s="369"/>
      <c r="DB33" s="369"/>
      <c r="DC33" s="369"/>
      <c r="DD33" s="369"/>
    </row>
    <row r="34" spans="1:108" ht="13.5" customHeight="1">
      <c r="A34" s="368"/>
      <c r="B34" s="369"/>
      <c r="C34" s="368"/>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69"/>
      <c r="CX34" s="369"/>
      <c r="CY34" s="369"/>
      <c r="CZ34" s="369"/>
      <c r="DA34" s="369"/>
      <c r="DB34" s="369"/>
      <c r="DC34" s="369"/>
      <c r="DD34" s="369"/>
    </row>
    <row r="35" spans="1:108" ht="13.5" customHeight="1">
      <c r="A35" s="368"/>
      <c r="B35" s="369"/>
      <c r="C35" s="368"/>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c r="BN35" s="369"/>
      <c r="BO35" s="369"/>
      <c r="BP35" s="369"/>
      <c r="BQ35" s="369"/>
      <c r="BR35" s="369"/>
      <c r="BS35" s="369"/>
      <c r="BT35" s="369"/>
      <c r="BU35" s="369"/>
      <c r="BV35" s="369"/>
      <c r="BW35" s="369"/>
      <c r="BX35" s="369"/>
      <c r="BY35" s="369"/>
      <c r="BZ35" s="369"/>
      <c r="CA35" s="369"/>
      <c r="CB35" s="369"/>
      <c r="CC35" s="369"/>
      <c r="CD35" s="369"/>
      <c r="CE35" s="369"/>
      <c r="CF35" s="369"/>
      <c r="CG35" s="369"/>
      <c r="CH35" s="369"/>
      <c r="CI35" s="369"/>
      <c r="CJ35" s="369"/>
      <c r="CK35" s="369"/>
      <c r="CL35" s="369"/>
      <c r="CM35" s="369"/>
      <c r="CN35" s="369"/>
      <c r="CO35" s="369"/>
      <c r="CP35" s="369"/>
      <c r="CQ35" s="369"/>
      <c r="CR35" s="369"/>
      <c r="CS35" s="369"/>
      <c r="CT35" s="369"/>
      <c r="CU35" s="369"/>
      <c r="CV35" s="369"/>
      <c r="CW35" s="369"/>
      <c r="CX35" s="369"/>
      <c r="CY35" s="369"/>
      <c r="CZ35" s="369"/>
      <c r="DA35" s="369"/>
      <c r="DB35" s="369"/>
      <c r="DC35" s="369"/>
      <c r="DD35" s="369"/>
    </row>
    <row r="36" spans="1:108" ht="13.5" customHeight="1">
      <c r="A36" s="368"/>
      <c r="B36" s="369"/>
      <c r="C36" s="368"/>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69"/>
      <c r="CA36" s="369"/>
      <c r="CB36" s="369"/>
      <c r="CC36" s="369"/>
      <c r="CD36" s="369"/>
      <c r="CE36" s="369"/>
      <c r="CF36" s="369"/>
      <c r="CG36" s="369"/>
      <c r="CH36" s="369"/>
      <c r="CI36" s="369"/>
      <c r="CJ36" s="369"/>
      <c r="CK36" s="369"/>
      <c r="CL36" s="369"/>
      <c r="CM36" s="369"/>
      <c r="CN36" s="369"/>
      <c r="CO36" s="369"/>
      <c r="CP36" s="369"/>
      <c r="CQ36" s="369"/>
      <c r="CR36" s="369"/>
      <c r="CS36" s="369"/>
      <c r="CT36" s="369"/>
      <c r="CU36" s="369"/>
      <c r="CV36" s="369"/>
      <c r="CW36" s="369"/>
      <c r="CX36" s="369"/>
      <c r="CY36" s="369"/>
      <c r="CZ36" s="369"/>
      <c r="DA36" s="369"/>
      <c r="DB36" s="369"/>
      <c r="DC36" s="369"/>
      <c r="DD36" s="369"/>
    </row>
    <row r="37" spans="1:108" ht="13.5" customHeight="1">
      <c r="A37" s="368"/>
      <c r="B37" s="369"/>
      <c r="C37" s="368"/>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369"/>
      <c r="CB37" s="369"/>
      <c r="CC37" s="369"/>
      <c r="CD37" s="369"/>
      <c r="CE37" s="369"/>
      <c r="CF37" s="369"/>
      <c r="CG37" s="369"/>
      <c r="CH37" s="369"/>
      <c r="CI37" s="369"/>
      <c r="CJ37" s="369"/>
      <c r="CK37" s="369"/>
      <c r="CL37" s="369"/>
      <c r="CM37" s="369"/>
      <c r="CN37" s="369"/>
      <c r="CO37" s="369"/>
      <c r="CP37" s="369"/>
      <c r="CQ37" s="369"/>
      <c r="CR37" s="369"/>
      <c r="CS37" s="369"/>
      <c r="CT37" s="369"/>
      <c r="CU37" s="369"/>
      <c r="CV37" s="369"/>
      <c r="CW37" s="369"/>
      <c r="CX37" s="369"/>
      <c r="CY37" s="369"/>
      <c r="CZ37" s="369"/>
      <c r="DA37" s="369"/>
      <c r="DB37" s="369"/>
      <c r="DC37" s="369"/>
      <c r="DD37" s="369"/>
    </row>
    <row r="38" spans="1:108" ht="13.5" customHeight="1">
      <c r="A38" s="368"/>
      <c r="B38" s="369"/>
      <c r="C38" s="368"/>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row>
    <row r="39" spans="1:108" ht="13.5" customHeight="1">
      <c r="A39" s="368"/>
      <c r="B39" s="369"/>
      <c r="C39" s="368"/>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row>
    <row r="40" spans="1:108" ht="13.5" customHeight="1">
      <c r="A40" s="368"/>
      <c r="B40" s="369"/>
      <c r="C40" s="368"/>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69"/>
      <c r="BR40" s="369"/>
      <c r="BS40" s="369"/>
      <c r="BT40" s="369"/>
      <c r="BU40" s="369"/>
      <c r="BV40" s="369"/>
      <c r="BW40" s="369"/>
      <c r="BX40" s="369"/>
      <c r="BY40" s="369"/>
      <c r="BZ40" s="369"/>
      <c r="CA40" s="369"/>
      <c r="CB40" s="369"/>
      <c r="CC40" s="369"/>
      <c r="CD40" s="369"/>
      <c r="CE40" s="369"/>
      <c r="CF40" s="369"/>
      <c r="CG40" s="369"/>
      <c r="CH40" s="369"/>
      <c r="CI40" s="369"/>
      <c r="CJ40" s="369"/>
      <c r="CK40" s="369"/>
      <c r="CL40" s="369"/>
      <c r="CM40" s="369"/>
      <c r="CN40" s="369"/>
      <c r="CO40" s="369"/>
      <c r="CP40" s="369"/>
      <c r="CQ40" s="369"/>
      <c r="CR40" s="369"/>
      <c r="CS40" s="369"/>
      <c r="CT40" s="369"/>
      <c r="CU40" s="369"/>
      <c r="CV40" s="369"/>
      <c r="CW40" s="369"/>
      <c r="CX40" s="369"/>
      <c r="CY40" s="369"/>
      <c r="CZ40" s="369"/>
      <c r="DA40" s="369"/>
      <c r="DB40" s="369"/>
      <c r="DC40" s="369"/>
      <c r="DD40" s="369"/>
    </row>
    <row r="41" spans="1:108" ht="13.5" customHeight="1">
      <c r="A41" s="368"/>
      <c r="B41" s="369"/>
      <c r="C41" s="368"/>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69"/>
    </row>
    <row r="42" spans="1:108" ht="13.5" customHeight="1">
      <c r="A42" s="368"/>
      <c r="B42" s="369"/>
      <c r="C42" s="368"/>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69"/>
      <c r="BQ42" s="369"/>
      <c r="BR42" s="369"/>
      <c r="BS42" s="369"/>
      <c r="BT42" s="369"/>
      <c r="BU42" s="369"/>
      <c r="BV42" s="369"/>
      <c r="BW42" s="369"/>
      <c r="BX42" s="369"/>
      <c r="BY42" s="369"/>
      <c r="BZ42" s="369"/>
      <c r="CA42" s="369"/>
      <c r="CB42" s="369"/>
      <c r="CC42" s="369"/>
      <c r="CD42" s="369"/>
      <c r="CE42" s="369"/>
      <c r="CF42" s="369"/>
      <c r="CG42" s="369"/>
      <c r="CH42" s="369"/>
      <c r="CI42" s="369"/>
      <c r="CJ42" s="369"/>
      <c r="CK42" s="369"/>
      <c r="CL42" s="369"/>
      <c r="CM42" s="369"/>
      <c r="CN42" s="369"/>
      <c r="CO42" s="369"/>
      <c r="CP42" s="369"/>
      <c r="CQ42" s="369"/>
      <c r="CR42" s="369"/>
      <c r="CS42" s="369"/>
      <c r="CT42" s="369"/>
      <c r="CU42" s="369"/>
      <c r="CV42" s="369"/>
      <c r="CW42" s="369"/>
      <c r="CX42" s="369"/>
      <c r="CY42" s="369"/>
      <c r="CZ42" s="369"/>
      <c r="DA42" s="369"/>
      <c r="DB42" s="369"/>
      <c r="DC42" s="369"/>
      <c r="DD42" s="369"/>
    </row>
    <row r="43" spans="1:108" ht="13.5" customHeight="1">
      <c r="A43" s="368"/>
      <c r="B43" s="369"/>
      <c r="C43" s="368"/>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369"/>
      <c r="BR43" s="369"/>
      <c r="BS43" s="369"/>
      <c r="BT43" s="369"/>
      <c r="BU43" s="369"/>
      <c r="BV43" s="369"/>
      <c r="BW43" s="369"/>
      <c r="BX43" s="369"/>
      <c r="BY43" s="369"/>
      <c r="BZ43" s="369"/>
      <c r="CA43" s="369"/>
      <c r="CB43" s="369"/>
      <c r="CC43" s="369"/>
      <c r="CD43" s="369"/>
      <c r="CE43" s="369"/>
      <c r="CF43" s="369"/>
      <c r="CG43" s="369"/>
      <c r="CH43" s="369"/>
      <c r="CI43" s="369"/>
      <c r="CJ43" s="369"/>
      <c r="CK43" s="369"/>
      <c r="CL43" s="369"/>
      <c r="CM43" s="369"/>
      <c r="CN43" s="369"/>
      <c r="CO43" s="369"/>
      <c r="CP43" s="369"/>
      <c r="CQ43" s="369"/>
      <c r="CR43" s="369"/>
      <c r="CS43" s="369"/>
      <c r="CT43" s="369"/>
      <c r="CU43" s="369"/>
      <c r="CV43" s="369"/>
      <c r="CW43" s="369"/>
      <c r="CX43" s="369"/>
      <c r="CY43" s="369"/>
      <c r="CZ43" s="369"/>
      <c r="DA43" s="369"/>
      <c r="DB43" s="369"/>
      <c r="DC43" s="369"/>
      <c r="DD43" s="369"/>
    </row>
    <row r="44" spans="1:108" ht="13.5" customHeight="1">
      <c r="A44" s="368"/>
      <c r="B44" s="369"/>
      <c r="C44" s="368"/>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369"/>
      <c r="BR44" s="369"/>
      <c r="BS44" s="369"/>
      <c r="BT44" s="369"/>
      <c r="BU44" s="369"/>
      <c r="BV44" s="369"/>
      <c r="BW44" s="369"/>
      <c r="BX44" s="369"/>
      <c r="BY44" s="369"/>
      <c r="BZ44" s="369"/>
      <c r="CA44" s="369"/>
      <c r="CB44" s="369"/>
      <c r="CC44" s="369"/>
      <c r="CD44" s="369"/>
      <c r="CE44" s="369"/>
      <c r="CF44" s="369"/>
      <c r="CG44" s="369"/>
      <c r="CH44" s="369"/>
      <c r="CI44" s="369"/>
      <c r="CJ44" s="369"/>
      <c r="CK44" s="369"/>
      <c r="CL44" s="369"/>
      <c r="CM44" s="369"/>
      <c r="CN44" s="369"/>
      <c r="CO44" s="369"/>
      <c r="CP44" s="369"/>
      <c r="CQ44" s="369"/>
      <c r="CR44" s="369"/>
      <c r="CS44" s="369"/>
      <c r="CT44" s="369"/>
      <c r="CU44" s="369"/>
      <c r="CV44" s="369"/>
      <c r="CW44" s="369"/>
      <c r="CX44" s="369"/>
      <c r="CY44" s="369"/>
      <c r="CZ44" s="369"/>
      <c r="DA44" s="369"/>
      <c r="DB44" s="369"/>
      <c r="DC44" s="369"/>
      <c r="DD44" s="369"/>
    </row>
    <row r="45" spans="1:108" ht="13.5" customHeight="1">
      <c r="A45" s="368"/>
      <c r="B45" s="369"/>
      <c r="C45" s="368"/>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69"/>
      <c r="DA45" s="369"/>
      <c r="DB45" s="369"/>
      <c r="DC45" s="369"/>
      <c r="DD45" s="369"/>
    </row>
    <row r="46" spans="1:108" ht="13.5" customHeight="1">
      <c r="A46" s="368"/>
      <c r="B46" s="369"/>
      <c r="C46" s="368"/>
      <c r="D46" s="369"/>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row>
    <row r="47" spans="1:108" ht="13.5" customHeight="1">
      <c r="A47" s="368"/>
      <c r="B47" s="369"/>
      <c r="C47" s="368"/>
      <c r="D47" s="369"/>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row>
    <row r="48" spans="1:108" ht="13.5" customHeight="1">
      <c r="A48" s="368"/>
      <c r="B48" s="369"/>
      <c r="C48" s="368"/>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row>
    <row r="49" spans="1:108" ht="13.5" customHeight="1">
      <c r="A49" s="368"/>
      <c r="B49" s="369"/>
      <c r="C49" s="368"/>
      <c r="D49" s="369"/>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row>
    <row r="50" spans="1:108" ht="13.5" customHeight="1">
      <c r="A50" s="368"/>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row>
    <row r="51" spans="1:108" ht="13.5" customHeight="1">
      <c r="A51" s="368"/>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row>
    <row r="52" spans="1:108" ht="13.5" customHeight="1">
      <c r="A52" s="368"/>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row>
    <row r="53" spans="1:108" ht="13.5" customHeight="1">
      <c r="A53" s="373"/>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row>
    <row r="54" spans="1:108" ht="13.5" customHeight="1">
      <c r="A54" s="364"/>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5"/>
      <c r="BC54" s="365"/>
      <c r="BD54" s="365"/>
      <c r="BE54" s="365"/>
      <c r="BF54" s="365"/>
      <c r="BG54" s="365"/>
      <c r="BH54" s="365"/>
      <c r="BI54" s="365"/>
      <c r="BJ54" s="365"/>
      <c r="BK54" s="365"/>
      <c r="BL54" s="365"/>
      <c r="BM54" s="365"/>
      <c r="BN54" s="365"/>
      <c r="BO54" s="365"/>
      <c r="BP54" s="365"/>
      <c r="BQ54" s="365"/>
      <c r="BR54" s="365"/>
      <c r="BS54" s="365"/>
      <c r="BT54" s="365"/>
      <c r="BU54" s="365"/>
      <c r="BV54" s="365"/>
      <c r="BW54" s="365"/>
      <c r="BX54" s="365"/>
      <c r="BY54" s="365"/>
      <c r="BZ54" s="365"/>
      <c r="CA54" s="365"/>
      <c r="CB54" s="365"/>
      <c r="CC54" s="365"/>
      <c r="CD54" s="365"/>
      <c r="CE54" s="365"/>
      <c r="CF54" s="365"/>
      <c r="CG54" s="365"/>
      <c r="CH54" s="365"/>
      <c r="CI54" s="365"/>
      <c r="CJ54" s="365"/>
      <c r="CK54" s="365"/>
      <c r="CL54" s="365"/>
      <c r="CM54" s="365"/>
      <c r="CN54" s="365"/>
      <c r="CO54" s="365"/>
      <c r="CP54" s="365"/>
      <c r="CQ54" s="365"/>
      <c r="CR54" s="365"/>
      <c r="CS54" s="365"/>
      <c r="CT54" s="365"/>
      <c r="CU54" s="365"/>
      <c r="CV54" s="365"/>
      <c r="CW54" s="365"/>
      <c r="CX54" s="365"/>
      <c r="CY54" s="365"/>
      <c r="CZ54" s="365"/>
      <c r="DA54" s="365"/>
      <c r="DB54" s="365"/>
      <c r="DC54" s="365"/>
      <c r="DD54" s="365"/>
    </row>
    <row r="55" spans="1:108" ht="13.5" customHeight="1">
      <c r="C55" s="370" t="s">
        <v>3821</v>
      </c>
    </row>
    <row r="56" spans="1:108" ht="13.5" customHeight="1">
      <c r="A56" s="370" t="s">
        <v>3822</v>
      </c>
    </row>
    <row r="57" spans="1:108" ht="13.5" customHeight="1">
      <c r="C57" s="370" t="s">
        <v>2965</v>
      </c>
      <c r="G57" s="1542" t="s">
        <v>3823</v>
      </c>
      <c r="H57" s="1542"/>
      <c r="I57" s="1542"/>
      <c r="J57" s="1542"/>
      <c r="K57" s="1542"/>
      <c r="L57" s="1542"/>
      <c r="M57" s="1542"/>
      <c r="N57" s="1542"/>
      <c r="O57" s="1542"/>
      <c r="P57" s="1542"/>
      <c r="Q57" s="1542"/>
      <c r="R57" s="1542"/>
      <c r="S57" s="1542"/>
      <c r="T57" s="1542"/>
      <c r="U57" s="1542"/>
      <c r="V57" s="1542"/>
      <c r="W57" s="1542"/>
      <c r="X57" s="1542"/>
      <c r="Y57" s="1542"/>
      <c r="Z57" s="1542"/>
      <c r="AA57" s="1542"/>
      <c r="AB57" s="1542"/>
      <c r="AC57" s="1542"/>
      <c r="AD57" s="1542"/>
      <c r="AE57" s="1542"/>
      <c r="AF57" s="1542"/>
      <c r="AG57" s="1542"/>
      <c r="AH57" s="1542"/>
      <c r="AI57" s="1542"/>
      <c r="AJ57" s="1542"/>
      <c r="AK57" s="1542"/>
      <c r="AL57" s="1542"/>
      <c r="AM57" s="1542"/>
      <c r="AN57" s="1542"/>
      <c r="AO57" s="1542"/>
      <c r="AP57" s="1542"/>
      <c r="AQ57" s="1542"/>
      <c r="AR57" s="1542"/>
      <c r="AS57" s="1542"/>
      <c r="AT57" s="1542"/>
      <c r="AU57" s="1542"/>
      <c r="AV57" s="1542"/>
      <c r="AW57" s="1542"/>
      <c r="AX57" s="1542"/>
      <c r="AY57" s="1542"/>
      <c r="AZ57" s="1542"/>
      <c r="BA57" s="1542"/>
      <c r="BB57" s="1542"/>
      <c r="BC57" s="1542"/>
      <c r="BD57" s="1542"/>
      <c r="BE57" s="1542"/>
      <c r="BF57" s="1542"/>
      <c r="BG57" s="1542"/>
      <c r="BH57" s="1542"/>
      <c r="BI57" s="1542"/>
      <c r="BJ57" s="1542"/>
      <c r="BK57" s="1542"/>
      <c r="BL57" s="1542"/>
      <c r="BM57" s="1542"/>
      <c r="BN57" s="1542"/>
      <c r="BO57" s="1542"/>
      <c r="BP57" s="1542"/>
      <c r="BQ57" s="1542"/>
      <c r="BR57" s="1542"/>
      <c r="BS57" s="1542"/>
      <c r="BT57" s="1542"/>
      <c r="BU57" s="1542"/>
      <c r="BV57" s="1542"/>
      <c r="BW57" s="1542"/>
      <c r="BX57" s="1542"/>
      <c r="BY57" s="1542"/>
      <c r="BZ57" s="1542"/>
      <c r="CA57" s="1542"/>
      <c r="CB57" s="1542"/>
      <c r="CC57" s="1542"/>
      <c r="CD57" s="1542"/>
      <c r="CE57" s="1542"/>
      <c r="CF57" s="1542"/>
      <c r="CG57" s="1542"/>
      <c r="CH57" s="1542"/>
      <c r="CI57" s="1542"/>
      <c r="CJ57" s="1542"/>
      <c r="CK57" s="1542"/>
      <c r="CL57" s="1542"/>
      <c r="CM57" s="1542"/>
      <c r="CN57" s="1542"/>
      <c r="CO57" s="1542"/>
      <c r="CP57" s="1542"/>
      <c r="CQ57" s="1542"/>
      <c r="CR57" s="1542"/>
      <c r="CS57" s="1542"/>
      <c r="CT57" s="1542"/>
      <c r="CU57" s="1542"/>
      <c r="CV57" s="1542"/>
      <c r="CW57" s="1542"/>
      <c r="CX57" s="1542"/>
      <c r="CY57" s="1542"/>
      <c r="CZ57" s="1542"/>
      <c r="DA57" s="1542"/>
      <c r="DB57" s="1542"/>
    </row>
    <row r="58" spans="1:108" ht="13.5" customHeight="1">
      <c r="G58" s="1542"/>
      <c r="H58" s="1542"/>
      <c r="I58" s="1542"/>
      <c r="J58" s="1542"/>
      <c r="K58" s="1542"/>
      <c r="L58" s="1542"/>
      <c r="M58" s="1542"/>
      <c r="N58" s="1542"/>
      <c r="O58" s="1542"/>
      <c r="P58" s="1542"/>
      <c r="Q58" s="1542"/>
      <c r="R58" s="1542"/>
      <c r="S58" s="1542"/>
      <c r="T58" s="1542"/>
      <c r="U58" s="1542"/>
      <c r="V58" s="1542"/>
      <c r="W58" s="1542"/>
      <c r="X58" s="1542"/>
      <c r="Y58" s="1542"/>
      <c r="Z58" s="1542"/>
      <c r="AA58" s="1542"/>
      <c r="AB58" s="1542"/>
      <c r="AC58" s="1542"/>
      <c r="AD58" s="1542"/>
      <c r="AE58" s="1542"/>
      <c r="AF58" s="1542"/>
      <c r="AG58" s="1542"/>
      <c r="AH58" s="1542"/>
      <c r="AI58" s="1542"/>
      <c r="AJ58" s="1542"/>
      <c r="AK58" s="1542"/>
      <c r="AL58" s="1542"/>
      <c r="AM58" s="1542"/>
      <c r="AN58" s="1542"/>
      <c r="AO58" s="1542"/>
      <c r="AP58" s="1542"/>
      <c r="AQ58" s="1542"/>
      <c r="AR58" s="1542"/>
      <c r="AS58" s="1542"/>
      <c r="AT58" s="1542"/>
      <c r="AU58" s="1542"/>
      <c r="AV58" s="1542"/>
      <c r="AW58" s="1542"/>
      <c r="AX58" s="1542"/>
      <c r="AY58" s="1542"/>
      <c r="AZ58" s="1542"/>
      <c r="BA58" s="1542"/>
      <c r="BB58" s="1542"/>
      <c r="BC58" s="1542"/>
      <c r="BD58" s="1542"/>
      <c r="BE58" s="1542"/>
      <c r="BF58" s="1542"/>
      <c r="BG58" s="1542"/>
      <c r="BH58" s="1542"/>
      <c r="BI58" s="1542"/>
      <c r="BJ58" s="1542"/>
      <c r="BK58" s="1542"/>
      <c r="BL58" s="1542"/>
      <c r="BM58" s="1542"/>
      <c r="BN58" s="1542"/>
      <c r="BO58" s="1542"/>
      <c r="BP58" s="1542"/>
      <c r="BQ58" s="1542"/>
      <c r="BR58" s="1542"/>
      <c r="BS58" s="1542"/>
      <c r="BT58" s="1542"/>
      <c r="BU58" s="1542"/>
      <c r="BV58" s="1542"/>
      <c r="BW58" s="1542"/>
      <c r="BX58" s="1542"/>
      <c r="BY58" s="1542"/>
      <c r="BZ58" s="1542"/>
      <c r="CA58" s="1542"/>
      <c r="CB58" s="1542"/>
      <c r="CC58" s="1542"/>
      <c r="CD58" s="1542"/>
      <c r="CE58" s="1542"/>
      <c r="CF58" s="1542"/>
      <c r="CG58" s="1542"/>
      <c r="CH58" s="1542"/>
      <c r="CI58" s="1542"/>
      <c r="CJ58" s="1542"/>
      <c r="CK58" s="1542"/>
      <c r="CL58" s="1542"/>
      <c r="CM58" s="1542"/>
      <c r="CN58" s="1542"/>
      <c r="CO58" s="1542"/>
      <c r="CP58" s="1542"/>
      <c r="CQ58" s="1542"/>
      <c r="CR58" s="1542"/>
      <c r="CS58" s="1542"/>
      <c r="CT58" s="1542"/>
      <c r="CU58" s="1542"/>
      <c r="CV58" s="1542"/>
      <c r="CW58" s="1542"/>
      <c r="CX58" s="1542"/>
      <c r="CY58" s="1542"/>
      <c r="CZ58" s="1542"/>
      <c r="DA58" s="1542"/>
      <c r="DB58" s="1542"/>
    </row>
    <row r="59" spans="1:108" ht="13.5" customHeight="1">
      <c r="C59" s="370" t="s">
        <v>2968</v>
      </c>
      <c r="G59" s="1542" t="s">
        <v>3824</v>
      </c>
      <c r="H59" s="1542"/>
      <c r="I59" s="1542"/>
      <c r="J59" s="1542"/>
      <c r="K59" s="1542"/>
      <c r="L59" s="1542"/>
      <c r="M59" s="1542"/>
      <c r="N59" s="1542"/>
      <c r="O59" s="1542"/>
      <c r="P59" s="1542"/>
      <c r="Q59" s="1542"/>
      <c r="R59" s="1542"/>
      <c r="S59" s="1542"/>
      <c r="T59" s="1542"/>
      <c r="U59" s="1542"/>
      <c r="V59" s="1542"/>
      <c r="W59" s="1542"/>
      <c r="X59" s="1542"/>
      <c r="Y59" s="1542"/>
      <c r="Z59" s="1542"/>
      <c r="AA59" s="1542"/>
      <c r="AB59" s="1542"/>
      <c r="AC59" s="1542"/>
      <c r="AD59" s="1542"/>
      <c r="AE59" s="1542"/>
      <c r="AF59" s="1542"/>
      <c r="AG59" s="1542"/>
      <c r="AH59" s="1542"/>
      <c r="AI59" s="1542"/>
      <c r="AJ59" s="1542"/>
      <c r="AK59" s="1542"/>
      <c r="AL59" s="1542"/>
      <c r="AM59" s="1542"/>
      <c r="AN59" s="1542"/>
      <c r="AO59" s="1542"/>
      <c r="AP59" s="1542"/>
      <c r="AQ59" s="1542"/>
      <c r="AR59" s="1542"/>
      <c r="AS59" s="1542"/>
      <c r="AT59" s="1542"/>
      <c r="AU59" s="1542"/>
      <c r="AV59" s="1542"/>
      <c r="AW59" s="1542"/>
      <c r="AX59" s="1542"/>
      <c r="AY59" s="1542"/>
      <c r="AZ59" s="1542"/>
      <c r="BA59" s="1542"/>
      <c r="BB59" s="1542"/>
      <c r="BC59" s="1542"/>
      <c r="BD59" s="1542"/>
      <c r="BE59" s="1542"/>
      <c r="BF59" s="1542"/>
      <c r="BG59" s="1542"/>
      <c r="BH59" s="1542"/>
      <c r="BI59" s="1542"/>
      <c r="BJ59" s="1542"/>
      <c r="BK59" s="1542"/>
      <c r="BL59" s="1542"/>
      <c r="BM59" s="1542"/>
      <c r="BN59" s="1542"/>
      <c r="BO59" s="1542"/>
      <c r="BP59" s="1542"/>
      <c r="BQ59" s="1542"/>
      <c r="BR59" s="1542"/>
      <c r="BS59" s="1542"/>
      <c r="BT59" s="1542"/>
      <c r="BU59" s="1542"/>
      <c r="BV59" s="1542"/>
      <c r="BW59" s="1542"/>
      <c r="BX59" s="1542"/>
      <c r="BY59" s="1542"/>
      <c r="BZ59" s="1542"/>
      <c r="CA59" s="1542"/>
      <c r="CB59" s="1542"/>
      <c r="CC59" s="1542"/>
      <c r="CD59" s="1542"/>
      <c r="CE59" s="1542"/>
      <c r="CF59" s="1542"/>
      <c r="CG59" s="1542"/>
      <c r="CH59" s="1542"/>
      <c r="CI59" s="1542"/>
      <c r="CJ59" s="1542"/>
      <c r="CK59" s="1542"/>
      <c r="CL59" s="1542"/>
      <c r="CM59" s="1542"/>
      <c r="CN59" s="1542"/>
      <c r="CO59" s="1542"/>
      <c r="CP59" s="1542"/>
      <c r="CQ59" s="1542"/>
      <c r="CR59" s="1542"/>
      <c r="CS59" s="1542"/>
      <c r="CT59" s="1542"/>
      <c r="CU59" s="1542"/>
      <c r="CV59" s="1542"/>
      <c r="CW59" s="1542"/>
      <c r="CX59" s="1542"/>
      <c r="CY59" s="1542"/>
      <c r="CZ59" s="1542"/>
      <c r="DA59" s="1542"/>
      <c r="DB59" s="1542"/>
    </row>
    <row r="60" spans="1:108" ht="27.75" customHeight="1">
      <c r="G60" s="1542"/>
      <c r="H60" s="1542"/>
      <c r="I60" s="1542"/>
      <c r="J60" s="1542"/>
      <c r="K60" s="1542"/>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2"/>
      <c r="AL60" s="1542"/>
      <c r="AM60" s="1542"/>
      <c r="AN60" s="1542"/>
      <c r="AO60" s="1542"/>
      <c r="AP60" s="1542"/>
      <c r="AQ60" s="1542"/>
      <c r="AR60" s="1542"/>
      <c r="AS60" s="1542"/>
      <c r="AT60" s="1542"/>
      <c r="AU60" s="1542"/>
      <c r="AV60" s="1542"/>
      <c r="AW60" s="1542"/>
      <c r="AX60" s="1542"/>
      <c r="AY60" s="1542"/>
      <c r="AZ60" s="1542"/>
      <c r="BA60" s="1542"/>
      <c r="BB60" s="1542"/>
      <c r="BC60" s="1542"/>
      <c r="BD60" s="1542"/>
      <c r="BE60" s="1542"/>
      <c r="BF60" s="1542"/>
      <c r="BG60" s="1542"/>
      <c r="BH60" s="1542"/>
      <c r="BI60" s="1542"/>
      <c r="BJ60" s="1542"/>
      <c r="BK60" s="1542"/>
      <c r="BL60" s="1542"/>
      <c r="BM60" s="1542"/>
      <c r="BN60" s="1542"/>
      <c r="BO60" s="1542"/>
      <c r="BP60" s="1542"/>
      <c r="BQ60" s="1542"/>
      <c r="BR60" s="1542"/>
      <c r="BS60" s="1542"/>
      <c r="BT60" s="1542"/>
      <c r="BU60" s="1542"/>
      <c r="BV60" s="1542"/>
      <c r="BW60" s="1542"/>
      <c r="BX60" s="1542"/>
      <c r="BY60" s="1542"/>
      <c r="BZ60" s="1542"/>
      <c r="CA60" s="1542"/>
      <c r="CB60" s="1542"/>
      <c r="CC60" s="1542"/>
      <c r="CD60" s="1542"/>
      <c r="CE60" s="1542"/>
      <c r="CF60" s="1542"/>
      <c r="CG60" s="1542"/>
      <c r="CH60" s="1542"/>
      <c r="CI60" s="1542"/>
      <c r="CJ60" s="1542"/>
      <c r="CK60" s="1542"/>
      <c r="CL60" s="1542"/>
      <c r="CM60" s="1542"/>
      <c r="CN60" s="1542"/>
      <c r="CO60" s="1542"/>
      <c r="CP60" s="1542"/>
      <c r="CQ60" s="1542"/>
      <c r="CR60" s="1542"/>
      <c r="CS60" s="1542"/>
      <c r="CT60" s="1542"/>
      <c r="CU60" s="1542"/>
      <c r="CV60" s="1542"/>
      <c r="CW60" s="1542"/>
      <c r="CX60" s="1542"/>
      <c r="CY60" s="1542"/>
      <c r="CZ60" s="1542"/>
      <c r="DA60" s="1542"/>
      <c r="DB60" s="1542"/>
    </row>
    <row r="61" spans="1:108" ht="13.5" customHeight="1">
      <c r="A61" s="370" t="s">
        <v>3825</v>
      </c>
    </row>
    <row r="62" spans="1:108" ht="13.5" customHeight="1">
      <c r="C62" s="370" t="s">
        <v>2965</v>
      </c>
      <c r="G62" s="845" t="s">
        <v>3826</v>
      </c>
      <c r="H62" s="845"/>
      <c r="I62" s="845"/>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c r="AI62" s="845"/>
      <c r="AJ62" s="845"/>
      <c r="AK62" s="845"/>
      <c r="AL62" s="845"/>
      <c r="AM62" s="845"/>
      <c r="AN62" s="845"/>
      <c r="AO62" s="845"/>
      <c r="AP62" s="845"/>
      <c r="AQ62" s="845"/>
      <c r="AR62" s="845"/>
      <c r="AS62" s="845"/>
      <c r="AT62" s="845"/>
      <c r="AU62" s="845"/>
      <c r="AV62" s="845"/>
      <c r="AW62" s="845"/>
      <c r="AX62" s="845"/>
      <c r="AY62" s="845"/>
      <c r="AZ62" s="845"/>
      <c r="BA62" s="845"/>
      <c r="BB62" s="845"/>
      <c r="BC62" s="845"/>
      <c r="BD62" s="845"/>
      <c r="BE62" s="845"/>
      <c r="BF62" s="845"/>
      <c r="BG62" s="845"/>
      <c r="BH62" s="845"/>
      <c r="BI62" s="845"/>
      <c r="BJ62" s="845"/>
      <c r="BK62" s="845"/>
      <c r="BL62" s="845"/>
      <c r="BM62" s="845"/>
      <c r="BN62" s="845"/>
      <c r="BO62" s="845"/>
      <c r="BP62" s="845"/>
      <c r="BQ62" s="845"/>
      <c r="BR62" s="845"/>
      <c r="BS62" s="845"/>
      <c r="BT62" s="845"/>
      <c r="BU62" s="845"/>
      <c r="BV62" s="845"/>
      <c r="BW62" s="845"/>
      <c r="BX62" s="845"/>
      <c r="BY62" s="845"/>
      <c r="BZ62" s="845"/>
      <c r="CA62" s="845"/>
      <c r="CB62" s="845"/>
      <c r="CC62" s="845"/>
      <c r="CD62" s="845"/>
      <c r="CE62" s="845"/>
      <c r="CF62" s="845"/>
      <c r="CG62" s="845"/>
      <c r="CH62" s="845"/>
      <c r="CI62" s="845"/>
      <c r="CJ62" s="845"/>
      <c r="CK62" s="845"/>
      <c r="CL62" s="845"/>
      <c r="CM62" s="845"/>
      <c r="CN62" s="845"/>
      <c r="CO62" s="845"/>
      <c r="CP62" s="845"/>
      <c r="CQ62" s="845"/>
      <c r="CR62" s="845"/>
      <c r="CS62" s="845"/>
      <c r="CT62" s="845"/>
      <c r="CU62" s="845"/>
      <c r="CV62" s="845"/>
      <c r="CW62" s="845"/>
      <c r="CX62" s="845"/>
      <c r="CY62" s="845"/>
      <c r="CZ62" s="845"/>
      <c r="DA62" s="845"/>
      <c r="DB62" s="845"/>
    </row>
    <row r="63" spans="1:108" ht="13.5" customHeight="1">
      <c r="C63" s="370" t="s">
        <v>2968</v>
      </c>
      <c r="G63" s="1543" t="s">
        <v>3827</v>
      </c>
      <c r="H63" s="1543"/>
      <c r="I63" s="1543"/>
      <c r="J63" s="1543"/>
      <c r="K63" s="1543"/>
      <c r="L63" s="1543"/>
      <c r="M63" s="1543"/>
      <c r="N63" s="1543"/>
      <c r="O63" s="1543"/>
      <c r="P63" s="1543"/>
      <c r="Q63" s="1543"/>
      <c r="R63" s="1543"/>
      <c r="S63" s="1543"/>
      <c r="T63" s="1543"/>
      <c r="U63" s="1543"/>
      <c r="V63" s="1543"/>
      <c r="W63" s="1543"/>
      <c r="X63" s="1543"/>
      <c r="Y63" s="1543"/>
      <c r="Z63" s="1543"/>
      <c r="AA63" s="1543"/>
      <c r="AB63" s="1543"/>
      <c r="AC63" s="1543"/>
      <c r="AD63" s="1543"/>
      <c r="AE63" s="1543"/>
      <c r="AF63" s="1543"/>
      <c r="AG63" s="1543"/>
      <c r="AH63" s="1543"/>
      <c r="AI63" s="1543"/>
      <c r="AJ63" s="1543"/>
      <c r="AK63" s="1543"/>
      <c r="AL63" s="1543"/>
      <c r="AM63" s="1543"/>
      <c r="AN63" s="1543"/>
      <c r="AO63" s="1543"/>
      <c r="AP63" s="1543"/>
      <c r="AQ63" s="1543"/>
      <c r="AR63" s="1543"/>
      <c r="AS63" s="1543"/>
      <c r="AT63" s="1543"/>
      <c r="AU63" s="1543"/>
      <c r="AV63" s="1543"/>
      <c r="AW63" s="1543"/>
      <c r="AX63" s="1543"/>
      <c r="AY63" s="1543"/>
      <c r="AZ63" s="1543"/>
      <c r="BA63" s="1543"/>
      <c r="BB63" s="1543"/>
      <c r="BC63" s="1543"/>
      <c r="BD63" s="1543"/>
      <c r="BE63" s="1543"/>
      <c r="BF63" s="1543"/>
      <c r="BG63" s="1543"/>
      <c r="BH63" s="1543"/>
      <c r="BI63" s="1543"/>
      <c r="BJ63" s="1543"/>
      <c r="BK63" s="1543"/>
      <c r="BL63" s="1543"/>
      <c r="BM63" s="1543"/>
      <c r="BN63" s="1543"/>
      <c r="BO63" s="1543"/>
      <c r="BP63" s="1543"/>
      <c r="BQ63" s="1543"/>
      <c r="BR63" s="1543"/>
      <c r="BS63" s="1543"/>
      <c r="BT63" s="1543"/>
      <c r="BU63" s="1543"/>
      <c r="BV63" s="1543"/>
      <c r="BW63" s="1543"/>
      <c r="BX63" s="1543"/>
      <c r="BY63" s="1543"/>
      <c r="BZ63" s="1543"/>
      <c r="CA63" s="1543"/>
      <c r="CB63" s="1543"/>
      <c r="CC63" s="1543"/>
      <c r="CD63" s="1543"/>
      <c r="CE63" s="1543"/>
      <c r="CF63" s="1543"/>
      <c r="CG63" s="1543"/>
      <c r="CH63" s="1543"/>
      <c r="CI63" s="1543"/>
      <c r="CJ63" s="1543"/>
      <c r="CK63" s="1543"/>
      <c r="CL63" s="1543"/>
      <c r="CM63" s="1543"/>
      <c r="CN63" s="1543"/>
      <c r="CO63" s="1543"/>
      <c r="CP63" s="1543"/>
      <c r="CQ63" s="1543"/>
      <c r="CR63" s="1543"/>
      <c r="CS63" s="1543"/>
      <c r="CT63" s="1543"/>
      <c r="CU63" s="1543"/>
      <c r="CV63" s="1543"/>
      <c r="CW63" s="1543"/>
      <c r="CX63" s="1543"/>
      <c r="CY63" s="1543"/>
      <c r="CZ63" s="1543"/>
      <c r="DA63" s="1543"/>
      <c r="DB63" s="1543"/>
    </row>
    <row r="64" spans="1:108" ht="13.5" customHeight="1">
      <c r="A64" s="375"/>
      <c r="B64" s="376"/>
      <c r="C64" s="376"/>
      <c r="D64" s="376"/>
      <c r="E64" s="376"/>
      <c r="F64" s="376"/>
      <c r="G64" s="1543"/>
      <c r="H64" s="1543"/>
      <c r="I64" s="1543"/>
      <c r="J64" s="1543"/>
      <c r="K64" s="1543"/>
      <c r="L64" s="1543"/>
      <c r="M64" s="1543"/>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c r="AI64" s="1543"/>
      <c r="AJ64" s="1543"/>
      <c r="AK64" s="1543"/>
      <c r="AL64" s="1543"/>
      <c r="AM64" s="1543"/>
      <c r="AN64" s="1543"/>
      <c r="AO64" s="1543"/>
      <c r="AP64" s="1543"/>
      <c r="AQ64" s="1543"/>
      <c r="AR64" s="1543"/>
      <c r="AS64" s="1543"/>
      <c r="AT64" s="1543"/>
      <c r="AU64" s="1543"/>
      <c r="AV64" s="1543"/>
      <c r="AW64" s="1543"/>
      <c r="AX64" s="1543"/>
      <c r="AY64" s="1543"/>
      <c r="AZ64" s="1543"/>
      <c r="BA64" s="1543"/>
      <c r="BB64" s="1543"/>
      <c r="BC64" s="1543"/>
      <c r="BD64" s="1543"/>
      <c r="BE64" s="1543"/>
      <c r="BF64" s="1543"/>
      <c r="BG64" s="1543"/>
      <c r="BH64" s="1543"/>
      <c r="BI64" s="1543"/>
      <c r="BJ64" s="1543"/>
      <c r="BK64" s="1543"/>
      <c r="BL64" s="1543"/>
      <c r="BM64" s="1543"/>
      <c r="BN64" s="1543"/>
      <c r="BO64" s="1543"/>
      <c r="BP64" s="1543"/>
      <c r="BQ64" s="1543"/>
      <c r="BR64" s="1543"/>
      <c r="BS64" s="1543"/>
      <c r="BT64" s="1543"/>
      <c r="BU64" s="1543"/>
      <c r="BV64" s="1543"/>
      <c r="BW64" s="1543"/>
      <c r="BX64" s="1543"/>
      <c r="BY64" s="1543"/>
      <c r="BZ64" s="1543"/>
      <c r="CA64" s="1543"/>
      <c r="CB64" s="1543"/>
      <c r="CC64" s="1543"/>
      <c r="CD64" s="1543"/>
      <c r="CE64" s="1543"/>
      <c r="CF64" s="1543"/>
      <c r="CG64" s="1543"/>
      <c r="CH64" s="1543"/>
      <c r="CI64" s="1543"/>
      <c r="CJ64" s="1543"/>
      <c r="CK64" s="1543"/>
      <c r="CL64" s="1543"/>
      <c r="CM64" s="1543"/>
      <c r="CN64" s="1543"/>
      <c r="CO64" s="1543"/>
      <c r="CP64" s="1543"/>
      <c r="CQ64" s="1543"/>
      <c r="CR64" s="1543"/>
      <c r="CS64" s="1543"/>
      <c r="CT64" s="1543"/>
      <c r="CU64" s="1543"/>
      <c r="CV64" s="1543"/>
      <c r="CW64" s="1543"/>
      <c r="CX64" s="1543"/>
      <c r="CY64" s="1543"/>
      <c r="CZ64" s="1543"/>
      <c r="DA64" s="1543"/>
      <c r="DB64" s="1543"/>
      <c r="DC64" s="376"/>
      <c r="DD64" s="376"/>
    </row>
    <row r="65" spans="1:108" ht="13.5" customHeight="1">
      <c r="A65" s="364"/>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c r="AS65" s="767"/>
      <c r="AT65" s="767"/>
      <c r="AU65" s="767"/>
      <c r="AV65" s="767"/>
      <c r="AW65" s="767"/>
      <c r="AX65" s="767"/>
      <c r="AY65" s="767"/>
      <c r="AZ65" s="767"/>
      <c r="BA65" s="767"/>
      <c r="BB65" s="767"/>
      <c r="BC65" s="767"/>
      <c r="BD65" s="767"/>
      <c r="BE65" s="767"/>
      <c r="BF65" s="767"/>
      <c r="BG65" s="767"/>
      <c r="BH65" s="767"/>
      <c r="BI65" s="767"/>
      <c r="BJ65" s="767"/>
      <c r="BK65" s="767"/>
      <c r="BL65" s="767"/>
      <c r="BM65" s="767"/>
      <c r="BN65" s="767"/>
      <c r="BO65" s="767"/>
      <c r="BP65" s="767"/>
      <c r="BQ65" s="767"/>
      <c r="BR65" s="767"/>
      <c r="BS65" s="767"/>
      <c r="BT65" s="767"/>
      <c r="BU65" s="767"/>
      <c r="BV65" s="767"/>
      <c r="BW65" s="767"/>
      <c r="BX65" s="767"/>
      <c r="BY65" s="767"/>
      <c r="BZ65" s="767"/>
      <c r="CA65" s="767"/>
      <c r="CB65" s="767"/>
      <c r="CC65" s="767"/>
      <c r="CD65" s="767"/>
      <c r="CE65" s="767"/>
      <c r="CF65" s="767"/>
      <c r="CG65" s="767"/>
      <c r="CH65" s="767"/>
      <c r="CI65" s="767"/>
      <c r="CJ65" s="767"/>
      <c r="CK65" s="767"/>
      <c r="CL65" s="767"/>
      <c r="CM65" s="767"/>
      <c r="CN65" s="767"/>
      <c r="CO65" s="767"/>
      <c r="CP65" s="767"/>
      <c r="CQ65" s="767"/>
      <c r="CR65" s="767"/>
      <c r="CS65" s="767"/>
      <c r="CT65" s="767"/>
      <c r="CU65" s="767"/>
      <c r="CV65" s="767"/>
      <c r="CW65" s="767"/>
      <c r="CX65" s="767"/>
      <c r="CY65" s="767"/>
      <c r="CZ65" s="767"/>
      <c r="DA65" s="767"/>
      <c r="DB65" s="767"/>
      <c r="DC65" s="767"/>
      <c r="DD65" s="767"/>
    </row>
    <row r="66" spans="1:108" ht="10.5" customHeight="1"/>
    <row r="67" spans="1:108" ht="10.5" customHeight="1"/>
    <row r="68" spans="1:108" ht="10.5" customHeight="1"/>
    <row r="69" spans="1:108" ht="10.5" customHeight="1"/>
    <row r="70" spans="1:108" ht="10.5" customHeight="1"/>
    <row r="71" spans="1:108" ht="10.5" customHeight="1"/>
    <row r="72" spans="1:108" ht="10.5" customHeight="1"/>
    <row r="73" spans="1:108" ht="10.5" customHeight="1"/>
    <row r="74" spans="1:108" ht="10.5" customHeight="1"/>
    <row r="75" spans="1:108" ht="10.5" customHeight="1"/>
    <row r="76" spans="1:108" ht="10.5" customHeight="1"/>
    <row r="77" spans="1:108" ht="10.5" customHeight="1"/>
    <row r="78" spans="1:108" ht="10.5" customHeight="1"/>
    <row r="79" spans="1:108" ht="10.5" customHeight="1"/>
    <row r="80" spans="1:108"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ht="10.5" customHeight="1"/>
    <row r="98" ht="10.5" customHeight="1"/>
    <row r="99" ht="10.5" customHeight="1"/>
    <row r="100" ht="10.5" customHeight="1"/>
    <row r="101" ht="10.5" customHeight="1"/>
    <row r="102" ht="10.5" customHeight="1"/>
    <row r="103" ht="10.5" customHeight="1"/>
    <row r="104" ht="10.5" customHeight="1"/>
    <row r="105" ht="10.5" customHeight="1"/>
    <row r="106" ht="10.5" customHeight="1"/>
    <row r="107" ht="10.5" customHeight="1"/>
    <row r="108" ht="10.5" customHeight="1"/>
    <row r="109" ht="10.5" customHeight="1"/>
    <row r="110" ht="10.5" customHeight="1"/>
    <row r="111" ht="10.5" customHeight="1"/>
    <row r="112" ht="10.5" customHeight="1"/>
    <row r="113" ht="10.5" customHeight="1"/>
    <row r="114" ht="10.5" customHeight="1"/>
    <row r="115" ht="10.5" customHeight="1"/>
    <row r="116" ht="10.5" customHeight="1"/>
    <row r="117" ht="10.5" customHeight="1"/>
    <row r="118" ht="10.5" customHeight="1"/>
    <row r="119" ht="10.5" customHeight="1"/>
    <row r="120" ht="10.5" customHeight="1"/>
    <row r="121" ht="10.5" customHeight="1"/>
    <row r="122" ht="10.5" customHeight="1"/>
    <row r="123" ht="10.5" customHeight="1"/>
    <row r="124" ht="10.5" customHeight="1"/>
    <row r="125" ht="10.5" customHeight="1"/>
    <row r="126" ht="10.5" customHeight="1"/>
    <row r="127" ht="10.5" customHeight="1"/>
    <row r="128" ht="10.5" customHeight="1"/>
    <row r="129" ht="10.5" customHeight="1"/>
    <row r="130" ht="10.5" customHeight="1"/>
    <row r="131" ht="10.5" customHeight="1"/>
  </sheetData>
  <mergeCells count="5">
    <mergeCell ref="A2:DD2"/>
    <mergeCell ref="G57:DB58"/>
    <mergeCell ref="G59:DB60"/>
    <mergeCell ref="G62:DB62"/>
    <mergeCell ref="G63:DB64"/>
  </mergeCells>
  <phoneticPr fontId="116"/>
  <printOptions horizontalCentered="1" verticalCentered="1"/>
  <pageMargins left="0.39370078740157483" right="0.39370078740157483" top="3.937007874015748E-2" bottom="3.937007874015748E-2" header="0.19685039370078741" footer="0.19685039370078741"/>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D42"/>
  <sheetViews>
    <sheetView workbookViewId="0"/>
  </sheetViews>
  <sheetFormatPr defaultColWidth="9.125" defaultRowHeight="11.25"/>
  <cols>
    <col min="1" max="2" width="1.75" style="377" customWidth="1"/>
    <col min="3" max="3" width="2.875" style="377" customWidth="1"/>
    <col min="4" max="4" width="3" style="377" customWidth="1"/>
    <col min="5" max="6" width="3.625" style="377" customWidth="1"/>
    <col min="7" max="7" width="3.25" style="377" customWidth="1"/>
    <col min="8" max="8" width="1.375" style="377" customWidth="1"/>
    <col min="9" max="9" width="2.125" style="377" customWidth="1"/>
    <col min="10" max="11" width="3" style="377" customWidth="1"/>
    <col min="12" max="14" width="2.875" style="377" customWidth="1"/>
    <col min="15" max="15" width="3" style="377" customWidth="1"/>
    <col min="16" max="16" width="2.875" style="377" customWidth="1"/>
    <col min="17" max="17" width="2.125" style="377" customWidth="1"/>
    <col min="18" max="19" width="2.75" style="377" customWidth="1"/>
    <col min="20" max="21" width="2.125" style="377" customWidth="1"/>
    <col min="22" max="59" width="2.875" style="377" customWidth="1"/>
    <col min="60" max="256" width="9" style="377" customWidth="1"/>
    <col min="257" max="258" width="1.75" style="377" customWidth="1"/>
    <col min="259" max="259" width="2.875" style="377" customWidth="1"/>
    <col min="260" max="260" width="3" style="377" customWidth="1"/>
    <col min="261" max="262" width="3.625" style="377" customWidth="1"/>
    <col min="263" max="263" width="3.25" style="377" customWidth="1"/>
    <col min="264" max="264" width="1.375" style="377" customWidth="1"/>
    <col min="265" max="265" width="2.125" style="377" customWidth="1"/>
    <col min="266" max="267" width="3" style="377" customWidth="1"/>
    <col min="268" max="270" width="2.875" style="377" customWidth="1"/>
    <col min="271" max="271" width="3" style="377" customWidth="1"/>
    <col min="272" max="272" width="2.875" style="377" customWidth="1"/>
    <col min="273" max="273" width="2.125" style="377" customWidth="1"/>
    <col min="274" max="275" width="2.75" style="377" customWidth="1"/>
    <col min="276" max="277" width="2.125" style="377" customWidth="1"/>
    <col min="278" max="315" width="2.875" style="377" customWidth="1"/>
    <col min="316" max="512" width="9" style="377" customWidth="1"/>
    <col min="513" max="514" width="1.75" style="377" customWidth="1"/>
    <col min="515" max="515" width="2.875" style="377" customWidth="1"/>
    <col min="516" max="516" width="3" style="377" customWidth="1"/>
    <col min="517" max="518" width="3.625" style="377" customWidth="1"/>
    <col min="519" max="519" width="3.25" style="377" customWidth="1"/>
    <col min="520" max="520" width="1.375" style="377" customWidth="1"/>
    <col min="521" max="521" width="2.125" style="377" customWidth="1"/>
    <col min="522" max="523" width="3" style="377" customWidth="1"/>
    <col min="524" max="526" width="2.875" style="377" customWidth="1"/>
    <col min="527" max="527" width="3" style="377" customWidth="1"/>
    <col min="528" max="528" width="2.875" style="377" customWidth="1"/>
    <col min="529" max="529" width="2.125" style="377" customWidth="1"/>
    <col min="530" max="531" width="2.75" style="377" customWidth="1"/>
    <col min="532" max="533" width="2.125" style="377" customWidth="1"/>
    <col min="534" max="571" width="2.875" style="377" customWidth="1"/>
    <col min="572" max="768" width="9" style="377" customWidth="1"/>
    <col min="769" max="770" width="1.75" style="377" customWidth="1"/>
    <col min="771" max="771" width="2.875" style="377" customWidth="1"/>
    <col min="772" max="772" width="3" style="377" customWidth="1"/>
    <col min="773" max="774" width="3.625" style="377" customWidth="1"/>
    <col min="775" max="775" width="3.25" style="377" customWidth="1"/>
    <col min="776" max="776" width="1.375" style="377" customWidth="1"/>
    <col min="777" max="777" width="2.125" style="377" customWidth="1"/>
    <col min="778" max="779" width="3" style="377" customWidth="1"/>
    <col min="780" max="782" width="2.875" style="377" customWidth="1"/>
    <col min="783" max="783" width="3" style="377" customWidth="1"/>
    <col min="784" max="784" width="2.875" style="377" customWidth="1"/>
    <col min="785" max="785" width="2.125" style="377" customWidth="1"/>
    <col min="786" max="787" width="2.75" style="377" customWidth="1"/>
    <col min="788" max="789" width="2.125" style="377" customWidth="1"/>
    <col min="790" max="827" width="2.875" style="377" customWidth="1"/>
    <col min="828" max="1024" width="9" style="377" customWidth="1"/>
    <col min="1025" max="1026" width="1.75" style="377" customWidth="1"/>
    <col min="1027" max="1027" width="2.875" style="377" customWidth="1"/>
    <col min="1028" max="1028" width="3" style="377" customWidth="1"/>
    <col min="1029" max="1030" width="3.625" style="377" customWidth="1"/>
    <col min="1031" max="1031" width="3.25" style="377" customWidth="1"/>
    <col min="1032" max="1032" width="1.375" style="377" customWidth="1"/>
    <col min="1033" max="1033" width="2.125" style="377" customWidth="1"/>
    <col min="1034" max="1035" width="3" style="377" customWidth="1"/>
    <col min="1036" max="1038" width="2.875" style="377" customWidth="1"/>
    <col min="1039" max="1039" width="3" style="377" customWidth="1"/>
    <col min="1040" max="1040" width="2.875" style="377" customWidth="1"/>
    <col min="1041" max="1041" width="2.125" style="377" customWidth="1"/>
    <col min="1042" max="1043" width="2.75" style="377" customWidth="1"/>
    <col min="1044" max="1045" width="2.125" style="377" customWidth="1"/>
    <col min="1046" max="1083" width="2.875" style="377" customWidth="1"/>
    <col min="1084" max="1280" width="9" style="377" customWidth="1"/>
    <col min="1281" max="1282" width="1.75" style="377" customWidth="1"/>
    <col min="1283" max="1283" width="2.875" style="377" customWidth="1"/>
    <col min="1284" max="1284" width="3" style="377" customWidth="1"/>
    <col min="1285" max="1286" width="3.625" style="377" customWidth="1"/>
    <col min="1287" max="1287" width="3.25" style="377" customWidth="1"/>
    <col min="1288" max="1288" width="1.375" style="377" customWidth="1"/>
    <col min="1289" max="1289" width="2.125" style="377" customWidth="1"/>
    <col min="1290" max="1291" width="3" style="377" customWidth="1"/>
    <col min="1292" max="1294" width="2.875" style="377" customWidth="1"/>
    <col min="1295" max="1295" width="3" style="377" customWidth="1"/>
    <col min="1296" max="1296" width="2.875" style="377" customWidth="1"/>
    <col min="1297" max="1297" width="2.125" style="377" customWidth="1"/>
    <col min="1298" max="1299" width="2.75" style="377" customWidth="1"/>
    <col min="1300" max="1301" width="2.125" style="377" customWidth="1"/>
    <col min="1302" max="1339" width="2.875" style="377" customWidth="1"/>
    <col min="1340" max="1536" width="9" style="377" customWidth="1"/>
    <col min="1537" max="1538" width="1.75" style="377" customWidth="1"/>
    <col min="1539" max="1539" width="2.875" style="377" customWidth="1"/>
    <col min="1540" max="1540" width="3" style="377" customWidth="1"/>
    <col min="1541" max="1542" width="3.625" style="377" customWidth="1"/>
    <col min="1543" max="1543" width="3.25" style="377" customWidth="1"/>
    <col min="1544" max="1544" width="1.375" style="377" customWidth="1"/>
    <col min="1545" max="1545" width="2.125" style="377" customWidth="1"/>
    <col min="1546" max="1547" width="3" style="377" customWidth="1"/>
    <col min="1548" max="1550" width="2.875" style="377" customWidth="1"/>
    <col min="1551" max="1551" width="3" style="377" customWidth="1"/>
    <col min="1552" max="1552" width="2.875" style="377" customWidth="1"/>
    <col min="1553" max="1553" width="2.125" style="377" customWidth="1"/>
    <col min="1554" max="1555" width="2.75" style="377" customWidth="1"/>
    <col min="1556" max="1557" width="2.125" style="377" customWidth="1"/>
    <col min="1558" max="1595" width="2.875" style="377" customWidth="1"/>
    <col min="1596" max="1792" width="9" style="377" customWidth="1"/>
    <col min="1793" max="1794" width="1.75" style="377" customWidth="1"/>
    <col min="1795" max="1795" width="2.875" style="377" customWidth="1"/>
    <col min="1796" max="1796" width="3" style="377" customWidth="1"/>
    <col min="1797" max="1798" width="3.625" style="377" customWidth="1"/>
    <col min="1799" max="1799" width="3.25" style="377" customWidth="1"/>
    <col min="1800" max="1800" width="1.375" style="377" customWidth="1"/>
    <col min="1801" max="1801" width="2.125" style="377" customWidth="1"/>
    <col min="1802" max="1803" width="3" style="377" customWidth="1"/>
    <col min="1804" max="1806" width="2.875" style="377" customWidth="1"/>
    <col min="1807" max="1807" width="3" style="377" customWidth="1"/>
    <col min="1808" max="1808" width="2.875" style="377" customWidth="1"/>
    <col min="1809" max="1809" width="2.125" style="377" customWidth="1"/>
    <col min="1810" max="1811" width="2.75" style="377" customWidth="1"/>
    <col min="1812" max="1813" width="2.125" style="377" customWidth="1"/>
    <col min="1814" max="1851" width="2.875" style="377" customWidth="1"/>
    <col min="1852" max="2048" width="9" style="377" customWidth="1"/>
    <col min="2049" max="2050" width="1.75" style="377" customWidth="1"/>
    <col min="2051" max="2051" width="2.875" style="377" customWidth="1"/>
    <col min="2052" max="2052" width="3" style="377" customWidth="1"/>
    <col min="2053" max="2054" width="3.625" style="377" customWidth="1"/>
    <col min="2055" max="2055" width="3.25" style="377" customWidth="1"/>
    <col min="2056" max="2056" width="1.375" style="377" customWidth="1"/>
    <col min="2057" max="2057" width="2.125" style="377" customWidth="1"/>
    <col min="2058" max="2059" width="3" style="377" customWidth="1"/>
    <col min="2060" max="2062" width="2.875" style="377" customWidth="1"/>
    <col min="2063" max="2063" width="3" style="377" customWidth="1"/>
    <col min="2064" max="2064" width="2.875" style="377" customWidth="1"/>
    <col min="2065" max="2065" width="2.125" style="377" customWidth="1"/>
    <col min="2066" max="2067" width="2.75" style="377" customWidth="1"/>
    <col min="2068" max="2069" width="2.125" style="377" customWidth="1"/>
    <col min="2070" max="2107" width="2.875" style="377" customWidth="1"/>
    <col min="2108" max="2304" width="9" style="377" customWidth="1"/>
    <col min="2305" max="2306" width="1.75" style="377" customWidth="1"/>
    <col min="2307" max="2307" width="2.875" style="377" customWidth="1"/>
    <col min="2308" max="2308" width="3" style="377" customWidth="1"/>
    <col min="2309" max="2310" width="3.625" style="377" customWidth="1"/>
    <col min="2311" max="2311" width="3.25" style="377" customWidth="1"/>
    <col min="2312" max="2312" width="1.375" style="377" customWidth="1"/>
    <col min="2313" max="2313" width="2.125" style="377" customWidth="1"/>
    <col min="2314" max="2315" width="3" style="377" customWidth="1"/>
    <col min="2316" max="2318" width="2.875" style="377" customWidth="1"/>
    <col min="2319" max="2319" width="3" style="377" customWidth="1"/>
    <col min="2320" max="2320" width="2.875" style="377" customWidth="1"/>
    <col min="2321" max="2321" width="2.125" style="377" customWidth="1"/>
    <col min="2322" max="2323" width="2.75" style="377" customWidth="1"/>
    <col min="2324" max="2325" width="2.125" style="377" customWidth="1"/>
    <col min="2326" max="2363" width="2.875" style="377" customWidth="1"/>
    <col min="2364" max="2560" width="9" style="377" customWidth="1"/>
    <col min="2561" max="2562" width="1.75" style="377" customWidth="1"/>
    <col min="2563" max="2563" width="2.875" style="377" customWidth="1"/>
    <col min="2564" max="2564" width="3" style="377" customWidth="1"/>
    <col min="2565" max="2566" width="3.625" style="377" customWidth="1"/>
    <col min="2567" max="2567" width="3.25" style="377" customWidth="1"/>
    <col min="2568" max="2568" width="1.375" style="377" customWidth="1"/>
    <col min="2569" max="2569" width="2.125" style="377" customWidth="1"/>
    <col min="2570" max="2571" width="3" style="377" customWidth="1"/>
    <col min="2572" max="2574" width="2.875" style="377" customWidth="1"/>
    <col min="2575" max="2575" width="3" style="377" customWidth="1"/>
    <col min="2576" max="2576" width="2.875" style="377" customWidth="1"/>
    <col min="2577" max="2577" width="2.125" style="377" customWidth="1"/>
    <col min="2578" max="2579" width="2.75" style="377" customWidth="1"/>
    <col min="2580" max="2581" width="2.125" style="377" customWidth="1"/>
    <col min="2582" max="2619" width="2.875" style="377" customWidth="1"/>
    <col min="2620" max="2816" width="9" style="377" customWidth="1"/>
    <col min="2817" max="2818" width="1.75" style="377" customWidth="1"/>
    <col min="2819" max="2819" width="2.875" style="377" customWidth="1"/>
    <col min="2820" max="2820" width="3" style="377" customWidth="1"/>
    <col min="2821" max="2822" width="3.625" style="377" customWidth="1"/>
    <col min="2823" max="2823" width="3.25" style="377" customWidth="1"/>
    <col min="2824" max="2824" width="1.375" style="377" customWidth="1"/>
    <col min="2825" max="2825" width="2.125" style="377" customWidth="1"/>
    <col min="2826" max="2827" width="3" style="377" customWidth="1"/>
    <col min="2828" max="2830" width="2.875" style="377" customWidth="1"/>
    <col min="2831" max="2831" width="3" style="377" customWidth="1"/>
    <col min="2832" max="2832" width="2.875" style="377" customWidth="1"/>
    <col min="2833" max="2833" width="2.125" style="377" customWidth="1"/>
    <col min="2834" max="2835" width="2.75" style="377" customWidth="1"/>
    <col min="2836" max="2837" width="2.125" style="377" customWidth="1"/>
    <col min="2838" max="2875" width="2.875" style="377" customWidth="1"/>
    <col min="2876" max="3072" width="9" style="377" customWidth="1"/>
    <col min="3073" max="3074" width="1.75" style="377" customWidth="1"/>
    <col min="3075" max="3075" width="2.875" style="377" customWidth="1"/>
    <col min="3076" max="3076" width="3" style="377" customWidth="1"/>
    <col min="3077" max="3078" width="3.625" style="377" customWidth="1"/>
    <col min="3079" max="3079" width="3.25" style="377" customWidth="1"/>
    <col min="3080" max="3080" width="1.375" style="377" customWidth="1"/>
    <col min="3081" max="3081" width="2.125" style="377" customWidth="1"/>
    <col min="3082" max="3083" width="3" style="377" customWidth="1"/>
    <col min="3084" max="3086" width="2.875" style="377" customWidth="1"/>
    <col min="3087" max="3087" width="3" style="377" customWidth="1"/>
    <col min="3088" max="3088" width="2.875" style="377" customWidth="1"/>
    <col min="3089" max="3089" width="2.125" style="377" customWidth="1"/>
    <col min="3090" max="3091" width="2.75" style="377" customWidth="1"/>
    <col min="3092" max="3093" width="2.125" style="377" customWidth="1"/>
    <col min="3094" max="3131" width="2.875" style="377" customWidth="1"/>
    <col min="3132" max="3328" width="9" style="377" customWidth="1"/>
    <col min="3329" max="3330" width="1.75" style="377" customWidth="1"/>
    <col min="3331" max="3331" width="2.875" style="377" customWidth="1"/>
    <col min="3332" max="3332" width="3" style="377" customWidth="1"/>
    <col min="3333" max="3334" width="3.625" style="377" customWidth="1"/>
    <col min="3335" max="3335" width="3.25" style="377" customWidth="1"/>
    <col min="3336" max="3336" width="1.375" style="377" customWidth="1"/>
    <col min="3337" max="3337" width="2.125" style="377" customWidth="1"/>
    <col min="3338" max="3339" width="3" style="377" customWidth="1"/>
    <col min="3340" max="3342" width="2.875" style="377" customWidth="1"/>
    <col min="3343" max="3343" width="3" style="377" customWidth="1"/>
    <col min="3344" max="3344" width="2.875" style="377" customWidth="1"/>
    <col min="3345" max="3345" width="2.125" style="377" customWidth="1"/>
    <col min="3346" max="3347" width="2.75" style="377" customWidth="1"/>
    <col min="3348" max="3349" width="2.125" style="377" customWidth="1"/>
    <col min="3350" max="3387" width="2.875" style="377" customWidth="1"/>
    <col min="3388" max="3584" width="9" style="377" customWidth="1"/>
    <col min="3585" max="3586" width="1.75" style="377" customWidth="1"/>
    <col min="3587" max="3587" width="2.875" style="377" customWidth="1"/>
    <col min="3588" max="3588" width="3" style="377" customWidth="1"/>
    <col min="3589" max="3590" width="3.625" style="377" customWidth="1"/>
    <col min="3591" max="3591" width="3.25" style="377" customWidth="1"/>
    <col min="3592" max="3592" width="1.375" style="377" customWidth="1"/>
    <col min="3593" max="3593" width="2.125" style="377" customWidth="1"/>
    <col min="3594" max="3595" width="3" style="377" customWidth="1"/>
    <col min="3596" max="3598" width="2.875" style="377" customWidth="1"/>
    <col min="3599" max="3599" width="3" style="377" customWidth="1"/>
    <col min="3600" max="3600" width="2.875" style="377" customWidth="1"/>
    <col min="3601" max="3601" width="2.125" style="377" customWidth="1"/>
    <col min="3602" max="3603" width="2.75" style="377" customWidth="1"/>
    <col min="3604" max="3605" width="2.125" style="377" customWidth="1"/>
    <col min="3606" max="3643" width="2.875" style="377" customWidth="1"/>
    <col min="3644" max="3840" width="9" style="377" customWidth="1"/>
    <col min="3841" max="3842" width="1.75" style="377" customWidth="1"/>
    <col min="3843" max="3843" width="2.875" style="377" customWidth="1"/>
    <col min="3844" max="3844" width="3" style="377" customWidth="1"/>
    <col min="3845" max="3846" width="3.625" style="377" customWidth="1"/>
    <col min="3847" max="3847" width="3.25" style="377" customWidth="1"/>
    <col min="3848" max="3848" width="1.375" style="377" customWidth="1"/>
    <col min="3849" max="3849" width="2.125" style="377" customWidth="1"/>
    <col min="3850" max="3851" width="3" style="377" customWidth="1"/>
    <col min="3852" max="3854" width="2.875" style="377" customWidth="1"/>
    <col min="3855" max="3855" width="3" style="377" customWidth="1"/>
    <col min="3856" max="3856" width="2.875" style="377" customWidth="1"/>
    <col min="3857" max="3857" width="2.125" style="377" customWidth="1"/>
    <col min="3858" max="3859" width="2.75" style="377" customWidth="1"/>
    <col min="3860" max="3861" width="2.125" style="377" customWidth="1"/>
    <col min="3862" max="3899" width="2.875" style="377" customWidth="1"/>
    <col min="3900" max="4096" width="9" style="377" customWidth="1"/>
    <col min="4097" max="4098" width="1.75" style="377" customWidth="1"/>
    <col min="4099" max="4099" width="2.875" style="377" customWidth="1"/>
    <col min="4100" max="4100" width="3" style="377" customWidth="1"/>
    <col min="4101" max="4102" width="3.625" style="377" customWidth="1"/>
    <col min="4103" max="4103" width="3.25" style="377" customWidth="1"/>
    <col min="4104" max="4104" width="1.375" style="377" customWidth="1"/>
    <col min="4105" max="4105" width="2.125" style="377" customWidth="1"/>
    <col min="4106" max="4107" width="3" style="377" customWidth="1"/>
    <col min="4108" max="4110" width="2.875" style="377" customWidth="1"/>
    <col min="4111" max="4111" width="3" style="377" customWidth="1"/>
    <col min="4112" max="4112" width="2.875" style="377" customWidth="1"/>
    <col min="4113" max="4113" width="2.125" style="377" customWidth="1"/>
    <col min="4114" max="4115" width="2.75" style="377" customWidth="1"/>
    <col min="4116" max="4117" width="2.125" style="377" customWidth="1"/>
    <col min="4118" max="4155" width="2.875" style="377" customWidth="1"/>
    <col min="4156" max="4352" width="9" style="377" customWidth="1"/>
    <col min="4353" max="4354" width="1.75" style="377" customWidth="1"/>
    <col min="4355" max="4355" width="2.875" style="377" customWidth="1"/>
    <col min="4356" max="4356" width="3" style="377" customWidth="1"/>
    <col min="4357" max="4358" width="3.625" style="377" customWidth="1"/>
    <col min="4359" max="4359" width="3.25" style="377" customWidth="1"/>
    <col min="4360" max="4360" width="1.375" style="377" customWidth="1"/>
    <col min="4361" max="4361" width="2.125" style="377" customWidth="1"/>
    <col min="4362" max="4363" width="3" style="377" customWidth="1"/>
    <col min="4364" max="4366" width="2.875" style="377" customWidth="1"/>
    <col min="4367" max="4367" width="3" style="377" customWidth="1"/>
    <col min="4368" max="4368" width="2.875" style="377" customWidth="1"/>
    <col min="4369" max="4369" width="2.125" style="377" customWidth="1"/>
    <col min="4370" max="4371" width="2.75" style="377" customWidth="1"/>
    <col min="4372" max="4373" width="2.125" style="377" customWidth="1"/>
    <col min="4374" max="4411" width="2.875" style="377" customWidth="1"/>
    <col min="4412" max="4608" width="9" style="377" customWidth="1"/>
    <col min="4609" max="4610" width="1.75" style="377" customWidth="1"/>
    <col min="4611" max="4611" width="2.875" style="377" customWidth="1"/>
    <col min="4612" max="4612" width="3" style="377" customWidth="1"/>
    <col min="4613" max="4614" width="3.625" style="377" customWidth="1"/>
    <col min="4615" max="4615" width="3.25" style="377" customWidth="1"/>
    <col min="4616" max="4616" width="1.375" style="377" customWidth="1"/>
    <col min="4617" max="4617" width="2.125" style="377" customWidth="1"/>
    <col min="4618" max="4619" width="3" style="377" customWidth="1"/>
    <col min="4620" max="4622" width="2.875" style="377" customWidth="1"/>
    <col min="4623" max="4623" width="3" style="377" customWidth="1"/>
    <col min="4624" max="4624" width="2.875" style="377" customWidth="1"/>
    <col min="4625" max="4625" width="2.125" style="377" customWidth="1"/>
    <col min="4626" max="4627" width="2.75" style="377" customWidth="1"/>
    <col min="4628" max="4629" width="2.125" style="377" customWidth="1"/>
    <col min="4630" max="4667" width="2.875" style="377" customWidth="1"/>
    <col min="4668" max="4864" width="9" style="377" customWidth="1"/>
    <col min="4865" max="4866" width="1.75" style="377" customWidth="1"/>
    <col min="4867" max="4867" width="2.875" style="377" customWidth="1"/>
    <col min="4868" max="4868" width="3" style="377" customWidth="1"/>
    <col min="4869" max="4870" width="3.625" style="377" customWidth="1"/>
    <col min="4871" max="4871" width="3.25" style="377" customWidth="1"/>
    <col min="4872" max="4872" width="1.375" style="377" customWidth="1"/>
    <col min="4873" max="4873" width="2.125" style="377" customWidth="1"/>
    <col min="4874" max="4875" width="3" style="377" customWidth="1"/>
    <col min="4876" max="4878" width="2.875" style="377" customWidth="1"/>
    <col min="4879" max="4879" width="3" style="377" customWidth="1"/>
    <col min="4880" max="4880" width="2.875" style="377" customWidth="1"/>
    <col min="4881" max="4881" width="2.125" style="377" customWidth="1"/>
    <col min="4882" max="4883" width="2.75" style="377" customWidth="1"/>
    <col min="4884" max="4885" width="2.125" style="377" customWidth="1"/>
    <col min="4886" max="4923" width="2.875" style="377" customWidth="1"/>
    <col min="4924" max="5120" width="9" style="377" customWidth="1"/>
    <col min="5121" max="5122" width="1.75" style="377" customWidth="1"/>
    <col min="5123" max="5123" width="2.875" style="377" customWidth="1"/>
    <col min="5124" max="5124" width="3" style="377" customWidth="1"/>
    <col min="5125" max="5126" width="3.625" style="377" customWidth="1"/>
    <col min="5127" max="5127" width="3.25" style="377" customWidth="1"/>
    <col min="5128" max="5128" width="1.375" style="377" customWidth="1"/>
    <col min="5129" max="5129" width="2.125" style="377" customWidth="1"/>
    <col min="5130" max="5131" width="3" style="377" customWidth="1"/>
    <col min="5132" max="5134" width="2.875" style="377" customWidth="1"/>
    <col min="5135" max="5135" width="3" style="377" customWidth="1"/>
    <col min="5136" max="5136" width="2.875" style="377" customWidth="1"/>
    <col min="5137" max="5137" width="2.125" style="377" customWidth="1"/>
    <col min="5138" max="5139" width="2.75" style="377" customWidth="1"/>
    <col min="5140" max="5141" width="2.125" style="377" customWidth="1"/>
    <col min="5142" max="5179" width="2.875" style="377" customWidth="1"/>
    <col min="5180" max="5376" width="9" style="377" customWidth="1"/>
    <col min="5377" max="5378" width="1.75" style="377" customWidth="1"/>
    <col min="5379" max="5379" width="2.875" style="377" customWidth="1"/>
    <col min="5380" max="5380" width="3" style="377" customWidth="1"/>
    <col min="5381" max="5382" width="3.625" style="377" customWidth="1"/>
    <col min="5383" max="5383" width="3.25" style="377" customWidth="1"/>
    <col min="5384" max="5384" width="1.375" style="377" customWidth="1"/>
    <col min="5385" max="5385" width="2.125" style="377" customWidth="1"/>
    <col min="5386" max="5387" width="3" style="377" customWidth="1"/>
    <col min="5388" max="5390" width="2.875" style="377" customWidth="1"/>
    <col min="5391" max="5391" width="3" style="377" customWidth="1"/>
    <col min="5392" max="5392" width="2.875" style="377" customWidth="1"/>
    <col min="5393" max="5393" width="2.125" style="377" customWidth="1"/>
    <col min="5394" max="5395" width="2.75" style="377" customWidth="1"/>
    <col min="5396" max="5397" width="2.125" style="377" customWidth="1"/>
    <col min="5398" max="5435" width="2.875" style="377" customWidth="1"/>
    <col min="5436" max="5632" width="9" style="377" customWidth="1"/>
    <col min="5633" max="5634" width="1.75" style="377" customWidth="1"/>
    <col min="5635" max="5635" width="2.875" style="377" customWidth="1"/>
    <col min="5636" max="5636" width="3" style="377" customWidth="1"/>
    <col min="5637" max="5638" width="3.625" style="377" customWidth="1"/>
    <col min="5639" max="5639" width="3.25" style="377" customWidth="1"/>
    <col min="5640" max="5640" width="1.375" style="377" customWidth="1"/>
    <col min="5641" max="5641" width="2.125" style="377" customWidth="1"/>
    <col min="5642" max="5643" width="3" style="377" customWidth="1"/>
    <col min="5644" max="5646" width="2.875" style="377" customWidth="1"/>
    <col min="5647" max="5647" width="3" style="377" customWidth="1"/>
    <col min="5648" max="5648" width="2.875" style="377" customWidth="1"/>
    <col min="5649" max="5649" width="2.125" style="377" customWidth="1"/>
    <col min="5650" max="5651" width="2.75" style="377" customWidth="1"/>
    <col min="5652" max="5653" width="2.125" style="377" customWidth="1"/>
    <col min="5654" max="5691" width="2.875" style="377" customWidth="1"/>
    <col min="5692" max="5888" width="9" style="377" customWidth="1"/>
    <col min="5889" max="5890" width="1.75" style="377" customWidth="1"/>
    <col min="5891" max="5891" width="2.875" style="377" customWidth="1"/>
    <col min="5892" max="5892" width="3" style="377" customWidth="1"/>
    <col min="5893" max="5894" width="3.625" style="377" customWidth="1"/>
    <col min="5895" max="5895" width="3.25" style="377" customWidth="1"/>
    <col min="5896" max="5896" width="1.375" style="377" customWidth="1"/>
    <col min="5897" max="5897" width="2.125" style="377" customWidth="1"/>
    <col min="5898" max="5899" width="3" style="377" customWidth="1"/>
    <col min="5900" max="5902" width="2.875" style="377" customWidth="1"/>
    <col min="5903" max="5903" width="3" style="377" customWidth="1"/>
    <col min="5904" max="5904" width="2.875" style="377" customWidth="1"/>
    <col min="5905" max="5905" width="2.125" style="377" customWidth="1"/>
    <col min="5906" max="5907" width="2.75" style="377" customWidth="1"/>
    <col min="5908" max="5909" width="2.125" style="377" customWidth="1"/>
    <col min="5910" max="5947" width="2.875" style="377" customWidth="1"/>
    <col min="5948" max="6144" width="9" style="377" customWidth="1"/>
    <col min="6145" max="6146" width="1.75" style="377" customWidth="1"/>
    <col min="6147" max="6147" width="2.875" style="377" customWidth="1"/>
    <col min="6148" max="6148" width="3" style="377" customWidth="1"/>
    <col min="6149" max="6150" width="3.625" style="377" customWidth="1"/>
    <col min="6151" max="6151" width="3.25" style="377" customWidth="1"/>
    <col min="6152" max="6152" width="1.375" style="377" customWidth="1"/>
    <col min="6153" max="6153" width="2.125" style="377" customWidth="1"/>
    <col min="6154" max="6155" width="3" style="377" customWidth="1"/>
    <col min="6156" max="6158" width="2.875" style="377" customWidth="1"/>
    <col min="6159" max="6159" width="3" style="377" customWidth="1"/>
    <col min="6160" max="6160" width="2.875" style="377" customWidth="1"/>
    <col min="6161" max="6161" width="2.125" style="377" customWidth="1"/>
    <col min="6162" max="6163" width="2.75" style="377" customWidth="1"/>
    <col min="6164" max="6165" width="2.125" style="377" customWidth="1"/>
    <col min="6166" max="6203" width="2.875" style="377" customWidth="1"/>
    <col min="6204" max="6400" width="9" style="377" customWidth="1"/>
    <col min="6401" max="6402" width="1.75" style="377" customWidth="1"/>
    <col min="6403" max="6403" width="2.875" style="377" customWidth="1"/>
    <col min="6404" max="6404" width="3" style="377" customWidth="1"/>
    <col min="6405" max="6406" width="3.625" style="377" customWidth="1"/>
    <col min="6407" max="6407" width="3.25" style="377" customWidth="1"/>
    <col min="6408" max="6408" width="1.375" style="377" customWidth="1"/>
    <col min="6409" max="6409" width="2.125" style="377" customWidth="1"/>
    <col min="6410" max="6411" width="3" style="377" customWidth="1"/>
    <col min="6412" max="6414" width="2.875" style="377" customWidth="1"/>
    <col min="6415" max="6415" width="3" style="377" customWidth="1"/>
    <col min="6416" max="6416" width="2.875" style="377" customWidth="1"/>
    <col min="6417" max="6417" width="2.125" style="377" customWidth="1"/>
    <col min="6418" max="6419" width="2.75" style="377" customWidth="1"/>
    <col min="6420" max="6421" width="2.125" style="377" customWidth="1"/>
    <col min="6422" max="6459" width="2.875" style="377" customWidth="1"/>
    <col min="6460" max="6656" width="9" style="377" customWidth="1"/>
    <col min="6657" max="6658" width="1.75" style="377" customWidth="1"/>
    <col min="6659" max="6659" width="2.875" style="377" customWidth="1"/>
    <col min="6660" max="6660" width="3" style="377" customWidth="1"/>
    <col min="6661" max="6662" width="3.625" style="377" customWidth="1"/>
    <col min="6663" max="6663" width="3.25" style="377" customWidth="1"/>
    <col min="6664" max="6664" width="1.375" style="377" customWidth="1"/>
    <col min="6665" max="6665" width="2.125" style="377" customWidth="1"/>
    <col min="6666" max="6667" width="3" style="377" customWidth="1"/>
    <col min="6668" max="6670" width="2.875" style="377" customWidth="1"/>
    <col min="6671" max="6671" width="3" style="377" customWidth="1"/>
    <col min="6672" max="6672" width="2.875" style="377" customWidth="1"/>
    <col min="6673" max="6673" width="2.125" style="377" customWidth="1"/>
    <col min="6674" max="6675" width="2.75" style="377" customWidth="1"/>
    <col min="6676" max="6677" width="2.125" style="377" customWidth="1"/>
    <col min="6678" max="6715" width="2.875" style="377" customWidth="1"/>
    <col min="6716" max="6912" width="9" style="377" customWidth="1"/>
    <col min="6913" max="6914" width="1.75" style="377" customWidth="1"/>
    <col min="6915" max="6915" width="2.875" style="377" customWidth="1"/>
    <col min="6916" max="6916" width="3" style="377" customWidth="1"/>
    <col min="6917" max="6918" width="3.625" style="377" customWidth="1"/>
    <col min="6919" max="6919" width="3.25" style="377" customWidth="1"/>
    <col min="6920" max="6920" width="1.375" style="377" customWidth="1"/>
    <col min="6921" max="6921" width="2.125" style="377" customWidth="1"/>
    <col min="6922" max="6923" width="3" style="377" customWidth="1"/>
    <col min="6924" max="6926" width="2.875" style="377" customWidth="1"/>
    <col min="6927" max="6927" width="3" style="377" customWidth="1"/>
    <col min="6928" max="6928" width="2.875" style="377" customWidth="1"/>
    <col min="6929" max="6929" width="2.125" style="377" customWidth="1"/>
    <col min="6930" max="6931" width="2.75" style="377" customWidth="1"/>
    <col min="6932" max="6933" width="2.125" style="377" customWidth="1"/>
    <col min="6934" max="6971" width="2.875" style="377" customWidth="1"/>
    <col min="6972" max="7168" width="9" style="377" customWidth="1"/>
    <col min="7169" max="7170" width="1.75" style="377" customWidth="1"/>
    <col min="7171" max="7171" width="2.875" style="377" customWidth="1"/>
    <col min="7172" max="7172" width="3" style="377" customWidth="1"/>
    <col min="7173" max="7174" width="3.625" style="377" customWidth="1"/>
    <col min="7175" max="7175" width="3.25" style="377" customWidth="1"/>
    <col min="7176" max="7176" width="1.375" style="377" customWidth="1"/>
    <col min="7177" max="7177" width="2.125" style="377" customWidth="1"/>
    <col min="7178" max="7179" width="3" style="377" customWidth="1"/>
    <col min="7180" max="7182" width="2.875" style="377" customWidth="1"/>
    <col min="7183" max="7183" width="3" style="377" customWidth="1"/>
    <col min="7184" max="7184" width="2.875" style="377" customWidth="1"/>
    <col min="7185" max="7185" width="2.125" style="377" customWidth="1"/>
    <col min="7186" max="7187" width="2.75" style="377" customWidth="1"/>
    <col min="7188" max="7189" width="2.125" style="377" customWidth="1"/>
    <col min="7190" max="7227" width="2.875" style="377" customWidth="1"/>
    <col min="7228" max="7424" width="9" style="377" customWidth="1"/>
    <col min="7425" max="7426" width="1.75" style="377" customWidth="1"/>
    <col min="7427" max="7427" width="2.875" style="377" customWidth="1"/>
    <col min="7428" max="7428" width="3" style="377" customWidth="1"/>
    <col min="7429" max="7430" width="3.625" style="377" customWidth="1"/>
    <col min="7431" max="7431" width="3.25" style="377" customWidth="1"/>
    <col min="7432" max="7432" width="1.375" style="377" customWidth="1"/>
    <col min="7433" max="7433" width="2.125" style="377" customWidth="1"/>
    <col min="7434" max="7435" width="3" style="377" customWidth="1"/>
    <col min="7436" max="7438" width="2.875" style="377" customWidth="1"/>
    <col min="7439" max="7439" width="3" style="377" customWidth="1"/>
    <col min="7440" max="7440" width="2.875" style="377" customWidth="1"/>
    <col min="7441" max="7441" width="2.125" style="377" customWidth="1"/>
    <col min="7442" max="7443" width="2.75" style="377" customWidth="1"/>
    <col min="7444" max="7445" width="2.125" style="377" customWidth="1"/>
    <col min="7446" max="7483" width="2.875" style="377" customWidth="1"/>
    <col min="7484" max="7680" width="9" style="377" customWidth="1"/>
    <col min="7681" max="7682" width="1.75" style="377" customWidth="1"/>
    <col min="7683" max="7683" width="2.875" style="377" customWidth="1"/>
    <col min="7684" max="7684" width="3" style="377" customWidth="1"/>
    <col min="7685" max="7686" width="3.625" style="377" customWidth="1"/>
    <col min="7687" max="7687" width="3.25" style="377" customWidth="1"/>
    <col min="7688" max="7688" width="1.375" style="377" customWidth="1"/>
    <col min="7689" max="7689" width="2.125" style="377" customWidth="1"/>
    <col min="7690" max="7691" width="3" style="377" customWidth="1"/>
    <col min="7692" max="7694" width="2.875" style="377" customWidth="1"/>
    <col min="7695" max="7695" width="3" style="377" customWidth="1"/>
    <col min="7696" max="7696" width="2.875" style="377" customWidth="1"/>
    <col min="7697" max="7697" width="2.125" style="377" customWidth="1"/>
    <col min="7698" max="7699" width="2.75" style="377" customWidth="1"/>
    <col min="7700" max="7701" width="2.125" style="377" customWidth="1"/>
    <col min="7702" max="7739" width="2.875" style="377" customWidth="1"/>
    <col min="7740" max="7936" width="9" style="377" customWidth="1"/>
    <col min="7937" max="7938" width="1.75" style="377" customWidth="1"/>
    <col min="7939" max="7939" width="2.875" style="377" customWidth="1"/>
    <col min="7940" max="7940" width="3" style="377" customWidth="1"/>
    <col min="7941" max="7942" width="3.625" style="377" customWidth="1"/>
    <col min="7943" max="7943" width="3.25" style="377" customWidth="1"/>
    <col min="7944" max="7944" width="1.375" style="377" customWidth="1"/>
    <col min="7945" max="7945" width="2.125" style="377" customWidth="1"/>
    <col min="7946" max="7947" width="3" style="377" customWidth="1"/>
    <col min="7948" max="7950" width="2.875" style="377" customWidth="1"/>
    <col min="7951" max="7951" width="3" style="377" customWidth="1"/>
    <col min="7952" max="7952" width="2.875" style="377" customWidth="1"/>
    <col min="7953" max="7953" width="2.125" style="377" customWidth="1"/>
    <col min="7954" max="7955" width="2.75" style="377" customWidth="1"/>
    <col min="7956" max="7957" width="2.125" style="377" customWidth="1"/>
    <col min="7958" max="7995" width="2.875" style="377" customWidth="1"/>
    <col min="7996" max="8192" width="9" style="377" customWidth="1"/>
    <col min="8193" max="8194" width="1.75" style="377" customWidth="1"/>
    <col min="8195" max="8195" width="2.875" style="377" customWidth="1"/>
    <col min="8196" max="8196" width="3" style="377" customWidth="1"/>
    <col min="8197" max="8198" width="3.625" style="377" customWidth="1"/>
    <col min="8199" max="8199" width="3.25" style="377" customWidth="1"/>
    <col min="8200" max="8200" width="1.375" style="377" customWidth="1"/>
    <col min="8201" max="8201" width="2.125" style="377" customWidth="1"/>
    <col min="8202" max="8203" width="3" style="377" customWidth="1"/>
    <col min="8204" max="8206" width="2.875" style="377" customWidth="1"/>
    <col min="8207" max="8207" width="3" style="377" customWidth="1"/>
    <col min="8208" max="8208" width="2.875" style="377" customWidth="1"/>
    <col min="8209" max="8209" width="2.125" style="377" customWidth="1"/>
    <col min="8210" max="8211" width="2.75" style="377" customWidth="1"/>
    <col min="8212" max="8213" width="2.125" style="377" customWidth="1"/>
    <col min="8214" max="8251" width="2.875" style="377" customWidth="1"/>
    <col min="8252" max="8448" width="9" style="377" customWidth="1"/>
    <col min="8449" max="8450" width="1.75" style="377" customWidth="1"/>
    <col min="8451" max="8451" width="2.875" style="377" customWidth="1"/>
    <col min="8452" max="8452" width="3" style="377" customWidth="1"/>
    <col min="8453" max="8454" width="3.625" style="377" customWidth="1"/>
    <col min="8455" max="8455" width="3.25" style="377" customWidth="1"/>
    <col min="8456" max="8456" width="1.375" style="377" customWidth="1"/>
    <col min="8457" max="8457" width="2.125" style="377" customWidth="1"/>
    <col min="8458" max="8459" width="3" style="377" customWidth="1"/>
    <col min="8460" max="8462" width="2.875" style="377" customWidth="1"/>
    <col min="8463" max="8463" width="3" style="377" customWidth="1"/>
    <col min="8464" max="8464" width="2.875" style="377" customWidth="1"/>
    <col min="8465" max="8465" width="2.125" style="377" customWidth="1"/>
    <col min="8466" max="8467" width="2.75" style="377" customWidth="1"/>
    <col min="8468" max="8469" width="2.125" style="377" customWidth="1"/>
    <col min="8470" max="8507" width="2.875" style="377" customWidth="1"/>
    <col min="8508" max="8704" width="9" style="377" customWidth="1"/>
    <col min="8705" max="8706" width="1.75" style="377" customWidth="1"/>
    <col min="8707" max="8707" width="2.875" style="377" customWidth="1"/>
    <col min="8708" max="8708" width="3" style="377" customWidth="1"/>
    <col min="8709" max="8710" width="3.625" style="377" customWidth="1"/>
    <col min="8711" max="8711" width="3.25" style="377" customWidth="1"/>
    <col min="8712" max="8712" width="1.375" style="377" customWidth="1"/>
    <col min="8713" max="8713" width="2.125" style="377" customWidth="1"/>
    <col min="8714" max="8715" width="3" style="377" customWidth="1"/>
    <col min="8716" max="8718" width="2.875" style="377" customWidth="1"/>
    <col min="8719" max="8719" width="3" style="377" customWidth="1"/>
    <col min="8720" max="8720" width="2.875" style="377" customWidth="1"/>
    <col min="8721" max="8721" width="2.125" style="377" customWidth="1"/>
    <col min="8722" max="8723" width="2.75" style="377" customWidth="1"/>
    <col min="8724" max="8725" width="2.125" style="377" customWidth="1"/>
    <col min="8726" max="8763" width="2.875" style="377" customWidth="1"/>
    <col min="8764" max="8960" width="9" style="377" customWidth="1"/>
    <col min="8961" max="8962" width="1.75" style="377" customWidth="1"/>
    <col min="8963" max="8963" width="2.875" style="377" customWidth="1"/>
    <col min="8964" max="8964" width="3" style="377" customWidth="1"/>
    <col min="8965" max="8966" width="3.625" style="377" customWidth="1"/>
    <col min="8967" max="8967" width="3.25" style="377" customWidth="1"/>
    <col min="8968" max="8968" width="1.375" style="377" customWidth="1"/>
    <col min="8969" max="8969" width="2.125" style="377" customWidth="1"/>
    <col min="8970" max="8971" width="3" style="377" customWidth="1"/>
    <col min="8972" max="8974" width="2.875" style="377" customWidth="1"/>
    <col min="8975" max="8975" width="3" style="377" customWidth="1"/>
    <col min="8976" max="8976" width="2.875" style="377" customWidth="1"/>
    <col min="8977" max="8977" width="2.125" style="377" customWidth="1"/>
    <col min="8978" max="8979" width="2.75" style="377" customWidth="1"/>
    <col min="8980" max="8981" width="2.125" style="377" customWidth="1"/>
    <col min="8982" max="9019" width="2.875" style="377" customWidth="1"/>
    <col min="9020" max="9216" width="9" style="377" customWidth="1"/>
    <col min="9217" max="9218" width="1.75" style="377" customWidth="1"/>
    <col min="9219" max="9219" width="2.875" style="377" customWidth="1"/>
    <col min="9220" max="9220" width="3" style="377" customWidth="1"/>
    <col min="9221" max="9222" width="3.625" style="377" customWidth="1"/>
    <col min="9223" max="9223" width="3.25" style="377" customWidth="1"/>
    <col min="9224" max="9224" width="1.375" style="377" customWidth="1"/>
    <col min="9225" max="9225" width="2.125" style="377" customWidth="1"/>
    <col min="9226" max="9227" width="3" style="377" customWidth="1"/>
    <col min="9228" max="9230" width="2.875" style="377" customWidth="1"/>
    <col min="9231" max="9231" width="3" style="377" customWidth="1"/>
    <col min="9232" max="9232" width="2.875" style="377" customWidth="1"/>
    <col min="9233" max="9233" width="2.125" style="377" customWidth="1"/>
    <col min="9234" max="9235" width="2.75" style="377" customWidth="1"/>
    <col min="9236" max="9237" width="2.125" style="377" customWidth="1"/>
    <col min="9238" max="9275" width="2.875" style="377" customWidth="1"/>
    <col min="9276" max="9472" width="9" style="377" customWidth="1"/>
    <col min="9473" max="9474" width="1.75" style="377" customWidth="1"/>
    <col min="9475" max="9475" width="2.875" style="377" customWidth="1"/>
    <col min="9476" max="9476" width="3" style="377" customWidth="1"/>
    <col min="9477" max="9478" width="3.625" style="377" customWidth="1"/>
    <col min="9479" max="9479" width="3.25" style="377" customWidth="1"/>
    <col min="9480" max="9480" width="1.375" style="377" customWidth="1"/>
    <col min="9481" max="9481" width="2.125" style="377" customWidth="1"/>
    <col min="9482" max="9483" width="3" style="377" customWidth="1"/>
    <col min="9484" max="9486" width="2.875" style="377" customWidth="1"/>
    <col min="9487" max="9487" width="3" style="377" customWidth="1"/>
    <col min="9488" max="9488" width="2.875" style="377" customWidth="1"/>
    <col min="9489" max="9489" width="2.125" style="377" customWidth="1"/>
    <col min="9490" max="9491" width="2.75" style="377" customWidth="1"/>
    <col min="9492" max="9493" width="2.125" style="377" customWidth="1"/>
    <col min="9494" max="9531" width="2.875" style="377" customWidth="1"/>
    <col min="9532" max="9728" width="9" style="377" customWidth="1"/>
    <col min="9729" max="9730" width="1.75" style="377" customWidth="1"/>
    <col min="9731" max="9731" width="2.875" style="377" customWidth="1"/>
    <col min="9732" max="9732" width="3" style="377" customWidth="1"/>
    <col min="9733" max="9734" width="3.625" style="377" customWidth="1"/>
    <col min="9735" max="9735" width="3.25" style="377" customWidth="1"/>
    <col min="9736" max="9736" width="1.375" style="377" customWidth="1"/>
    <col min="9737" max="9737" width="2.125" style="377" customWidth="1"/>
    <col min="9738" max="9739" width="3" style="377" customWidth="1"/>
    <col min="9740" max="9742" width="2.875" style="377" customWidth="1"/>
    <col min="9743" max="9743" width="3" style="377" customWidth="1"/>
    <col min="9744" max="9744" width="2.875" style="377" customWidth="1"/>
    <col min="9745" max="9745" width="2.125" style="377" customWidth="1"/>
    <col min="9746" max="9747" width="2.75" style="377" customWidth="1"/>
    <col min="9748" max="9749" width="2.125" style="377" customWidth="1"/>
    <col min="9750" max="9787" width="2.875" style="377" customWidth="1"/>
    <col min="9788" max="9984" width="9" style="377" customWidth="1"/>
    <col min="9985" max="9986" width="1.75" style="377" customWidth="1"/>
    <col min="9987" max="9987" width="2.875" style="377" customWidth="1"/>
    <col min="9988" max="9988" width="3" style="377" customWidth="1"/>
    <col min="9989" max="9990" width="3.625" style="377" customWidth="1"/>
    <col min="9991" max="9991" width="3.25" style="377" customWidth="1"/>
    <col min="9992" max="9992" width="1.375" style="377" customWidth="1"/>
    <col min="9993" max="9993" width="2.125" style="377" customWidth="1"/>
    <col min="9994" max="9995" width="3" style="377" customWidth="1"/>
    <col min="9996" max="9998" width="2.875" style="377" customWidth="1"/>
    <col min="9999" max="9999" width="3" style="377" customWidth="1"/>
    <col min="10000" max="10000" width="2.875" style="377" customWidth="1"/>
    <col min="10001" max="10001" width="2.125" style="377" customWidth="1"/>
    <col min="10002" max="10003" width="2.75" style="377" customWidth="1"/>
    <col min="10004" max="10005" width="2.125" style="377" customWidth="1"/>
    <col min="10006" max="10043" width="2.875" style="377" customWidth="1"/>
    <col min="10044" max="10240" width="9" style="377" customWidth="1"/>
    <col min="10241" max="10242" width="1.75" style="377" customWidth="1"/>
    <col min="10243" max="10243" width="2.875" style="377" customWidth="1"/>
    <col min="10244" max="10244" width="3" style="377" customWidth="1"/>
    <col min="10245" max="10246" width="3.625" style="377" customWidth="1"/>
    <col min="10247" max="10247" width="3.25" style="377" customWidth="1"/>
    <col min="10248" max="10248" width="1.375" style="377" customWidth="1"/>
    <col min="10249" max="10249" width="2.125" style="377" customWidth="1"/>
    <col min="10250" max="10251" width="3" style="377" customWidth="1"/>
    <col min="10252" max="10254" width="2.875" style="377" customWidth="1"/>
    <col min="10255" max="10255" width="3" style="377" customWidth="1"/>
    <col min="10256" max="10256" width="2.875" style="377" customWidth="1"/>
    <col min="10257" max="10257" width="2.125" style="377" customWidth="1"/>
    <col min="10258" max="10259" width="2.75" style="377" customWidth="1"/>
    <col min="10260" max="10261" width="2.125" style="377" customWidth="1"/>
    <col min="10262" max="10299" width="2.875" style="377" customWidth="1"/>
    <col min="10300" max="10496" width="9" style="377" customWidth="1"/>
    <col min="10497" max="10498" width="1.75" style="377" customWidth="1"/>
    <col min="10499" max="10499" width="2.875" style="377" customWidth="1"/>
    <col min="10500" max="10500" width="3" style="377" customWidth="1"/>
    <col min="10501" max="10502" width="3.625" style="377" customWidth="1"/>
    <col min="10503" max="10503" width="3.25" style="377" customWidth="1"/>
    <col min="10504" max="10504" width="1.375" style="377" customWidth="1"/>
    <col min="10505" max="10505" width="2.125" style="377" customWidth="1"/>
    <col min="10506" max="10507" width="3" style="377" customWidth="1"/>
    <col min="10508" max="10510" width="2.875" style="377" customWidth="1"/>
    <col min="10511" max="10511" width="3" style="377" customWidth="1"/>
    <col min="10512" max="10512" width="2.875" style="377" customWidth="1"/>
    <col min="10513" max="10513" width="2.125" style="377" customWidth="1"/>
    <col min="10514" max="10515" width="2.75" style="377" customWidth="1"/>
    <col min="10516" max="10517" width="2.125" style="377" customWidth="1"/>
    <col min="10518" max="10555" width="2.875" style="377" customWidth="1"/>
    <col min="10556" max="10752" width="9" style="377" customWidth="1"/>
    <col min="10753" max="10754" width="1.75" style="377" customWidth="1"/>
    <col min="10755" max="10755" width="2.875" style="377" customWidth="1"/>
    <col min="10756" max="10756" width="3" style="377" customWidth="1"/>
    <col min="10757" max="10758" width="3.625" style="377" customWidth="1"/>
    <col min="10759" max="10759" width="3.25" style="377" customWidth="1"/>
    <col min="10760" max="10760" width="1.375" style="377" customWidth="1"/>
    <col min="10761" max="10761" width="2.125" style="377" customWidth="1"/>
    <col min="10762" max="10763" width="3" style="377" customWidth="1"/>
    <col min="10764" max="10766" width="2.875" style="377" customWidth="1"/>
    <col min="10767" max="10767" width="3" style="377" customWidth="1"/>
    <col min="10768" max="10768" width="2.875" style="377" customWidth="1"/>
    <col min="10769" max="10769" width="2.125" style="377" customWidth="1"/>
    <col min="10770" max="10771" width="2.75" style="377" customWidth="1"/>
    <col min="10772" max="10773" width="2.125" style="377" customWidth="1"/>
    <col min="10774" max="10811" width="2.875" style="377" customWidth="1"/>
    <col min="10812" max="11008" width="9" style="377" customWidth="1"/>
    <col min="11009" max="11010" width="1.75" style="377" customWidth="1"/>
    <col min="11011" max="11011" width="2.875" style="377" customWidth="1"/>
    <col min="11012" max="11012" width="3" style="377" customWidth="1"/>
    <col min="11013" max="11014" width="3.625" style="377" customWidth="1"/>
    <col min="11015" max="11015" width="3.25" style="377" customWidth="1"/>
    <col min="11016" max="11016" width="1.375" style="377" customWidth="1"/>
    <col min="11017" max="11017" width="2.125" style="377" customWidth="1"/>
    <col min="11018" max="11019" width="3" style="377" customWidth="1"/>
    <col min="11020" max="11022" width="2.875" style="377" customWidth="1"/>
    <col min="11023" max="11023" width="3" style="377" customWidth="1"/>
    <col min="11024" max="11024" width="2.875" style="377" customWidth="1"/>
    <col min="11025" max="11025" width="2.125" style="377" customWidth="1"/>
    <col min="11026" max="11027" width="2.75" style="377" customWidth="1"/>
    <col min="11028" max="11029" width="2.125" style="377" customWidth="1"/>
    <col min="11030" max="11067" width="2.875" style="377" customWidth="1"/>
    <col min="11068" max="11264" width="9" style="377" customWidth="1"/>
    <col min="11265" max="11266" width="1.75" style="377" customWidth="1"/>
    <col min="11267" max="11267" width="2.875" style="377" customWidth="1"/>
    <col min="11268" max="11268" width="3" style="377" customWidth="1"/>
    <col min="11269" max="11270" width="3.625" style="377" customWidth="1"/>
    <col min="11271" max="11271" width="3.25" style="377" customWidth="1"/>
    <col min="11272" max="11272" width="1.375" style="377" customWidth="1"/>
    <col min="11273" max="11273" width="2.125" style="377" customWidth="1"/>
    <col min="11274" max="11275" width="3" style="377" customWidth="1"/>
    <col min="11276" max="11278" width="2.875" style="377" customWidth="1"/>
    <col min="11279" max="11279" width="3" style="377" customWidth="1"/>
    <col min="11280" max="11280" width="2.875" style="377" customWidth="1"/>
    <col min="11281" max="11281" width="2.125" style="377" customWidth="1"/>
    <col min="11282" max="11283" width="2.75" style="377" customWidth="1"/>
    <col min="11284" max="11285" width="2.125" style="377" customWidth="1"/>
    <col min="11286" max="11323" width="2.875" style="377" customWidth="1"/>
    <col min="11324" max="11520" width="9" style="377" customWidth="1"/>
    <col min="11521" max="11522" width="1.75" style="377" customWidth="1"/>
    <col min="11523" max="11523" width="2.875" style="377" customWidth="1"/>
    <col min="11524" max="11524" width="3" style="377" customWidth="1"/>
    <col min="11525" max="11526" width="3.625" style="377" customWidth="1"/>
    <col min="11527" max="11527" width="3.25" style="377" customWidth="1"/>
    <col min="11528" max="11528" width="1.375" style="377" customWidth="1"/>
    <col min="11529" max="11529" width="2.125" style="377" customWidth="1"/>
    <col min="11530" max="11531" width="3" style="377" customWidth="1"/>
    <col min="11532" max="11534" width="2.875" style="377" customWidth="1"/>
    <col min="11535" max="11535" width="3" style="377" customWidth="1"/>
    <col min="11536" max="11536" width="2.875" style="377" customWidth="1"/>
    <col min="11537" max="11537" width="2.125" style="377" customWidth="1"/>
    <col min="11538" max="11539" width="2.75" style="377" customWidth="1"/>
    <col min="11540" max="11541" width="2.125" style="377" customWidth="1"/>
    <col min="11542" max="11579" width="2.875" style="377" customWidth="1"/>
    <col min="11580" max="11776" width="9" style="377" customWidth="1"/>
    <col min="11777" max="11778" width="1.75" style="377" customWidth="1"/>
    <col min="11779" max="11779" width="2.875" style="377" customWidth="1"/>
    <col min="11780" max="11780" width="3" style="377" customWidth="1"/>
    <col min="11781" max="11782" width="3.625" style="377" customWidth="1"/>
    <col min="11783" max="11783" width="3.25" style="377" customWidth="1"/>
    <col min="11784" max="11784" width="1.375" style="377" customWidth="1"/>
    <col min="11785" max="11785" width="2.125" style="377" customWidth="1"/>
    <col min="11786" max="11787" width="3" style="377" customWidth="1"/>
    <col min="11788" max="11790" width="2.875" style="377" customWidth="1"/>
    <col min="11791" max="11791" width="3" style="377" customWidth="1"/>
    <col min="11792" max="11792" width="2.875" style="377" customWidth="1"/>
    <col min="11793" max="11793" width="2.125" style="377" customWidth="1"/>
    <col min="11794" max="11795" width="2.75" style="377" customWidth="1"/>
    <col min="11796" max="11797" width="2.125" style="377" customWidth="1"/>
    <col min="11798" max="11835" width="2.875" style="377" customWidth="1"/>
    <col min="11836" max="12032" width="9" style="377" customWidth="1"/>
    <col min="12033" max="12034" width="1.75" style="377" customWidth="1"/>
    <col min="12035" max="12035" width="2.875" style="377" customWidth="1"/>
    <col min="12036" max="12036" width="3" style="377" customWidth="1"/>
    <col min="12037" max="12038" width="3.625" style="377" customWidth="1"/>
    <col min="12039" max="12039" width="3.25" style="377" customWidth="1"/>
    <col min="12040" max="12040" width="1.375" style="377" customWidth="1"/>
    <col min="12041" max="12041" width="2.125" style="377" customWidth="1"/>
    <col min="12042" max="12043" width="3" style="377" customWidth="1"/>
    <col min="12044" max="12046" width="2.875" style="377" customWidth="1"/>
    <col min="12047" max="12047" width="3" style="377" customWidth="1"/>
    <col min="12048" max="12048" width="2.875" style="377" customWidth="1"/>
    <col min="12049" max="12049" width="2.125" style="377" customWidth="1"/>
    <col min="12050" max="12051" width="2.75" style="377" customWidth="1"/>
    <col min="12052" max="12053" width="2.125" style="377" customWidth="1"/>
    <col min="12054" max="12091" width="2.875" style="377" customWidth="1"/>
    <col min="12092" max="12288" width="9" style="377" customWidth="1"/>
    <col min="12289" max="12290" width="1.75" style="377" customWidth="1"/>
    <col min="12291" max="12291" width="2.875" style="377" customWidth="1"/>
    <col min="12292" max="12292" width="3" style="377" customWidth="1"/>
    <col min="12293" max="12294" width="3.625" style="377" customWidth="1"/>
    <col min="12295" max="12295" width="3.25" style="377" customWidth="1"/>
    <col min="12296" max="12296" width="1.375" style="377" customWidth="1"/>
    <col min="12297" max="12297" width="2.125" style="377" customWidth="1"/>
    <col min="12298" max="12299" width="3" style="377" customWidth="1"/>
    <col min="12300" max="12302" width="2.875" style="377" customWidth="1"/>
    <col min="12303" max="12303" width="3" style="377" customWidth="1"/>
    <col min="12304" max="12304" width="2.875" style="377" customWidth="1"/>
    <col min="12305" max="12305" width="2.125" style="377" customWidth="1"/>
    <col min="12306" max="12307" width="2.75" style="377" customWidth="1"/>
    <col min="12308" max="12309" width="2.125" style="377" customWidth="1"/>
    <col min="12310" max="12347" width="2.875" style="377" customWidth="1"/>
    <col min="12348" max="12544" width="9" style="377" customWidth="1"/>
    <col min="12545" max="12546" width="1.75" style="377" customWidth="1"/>
    <col min="12547" max="12547" width="2.875" style="377" customWidth="1"/>
    <col min="12548" max="12548" width="3" style="377" customWidth="1"/>
    <col min="12549" max="12550" width="3.625" style="377" customWidth="1"/>
    <col min="12551" max="12551" width="3.25" style="377" customWidth="1"/>
    <col min="12552" max="12552" width="1.375" style="377" customWidth="1"/>
    <col min="12553" max="12553" width="2.125" style="377" customWidth="1"/>
    <col min="12554" max="12555" width="3" style="377" customWidth="1"/>
    <col min="12556" max="12558" width="2.875" style="377" customWidth="1"/>
    <col min="12559" max="12559" width="3" style="377" customWidth="1"/>
    <col min="12560" max="12560" width="2.875" style="377" customWidth="1"/>
    <col min="12561" max="12561" width="2.125" style="377" customWidth="1"/>
    <col min="12562" max="12563" width="2.75" style="377" customWidth="1"/>
    <col min="12564" max="12565" width="2.125" style="377" customWidth="1"/>
    <col min="12566" max="12603" width="2.875" style="377" customWidth="1"/>
    <col min="12604" max="12800" width="9" style="377" customWidth="1"/>
    <col min="12801" max="12802" width="1.75" style="377" customWidth="1"/>
    <col min="12803" max="12803" width="2.875" style="377" customWidth="1"/>
    <col min="12804" max="12804" width="3" style="377" customWidth="1"/>
    <col min="12805" max="12806" width="3.625" style="377" customWidth="1"/>
    <col min="12807" max="12807" width="3.25" style="377" customWidth="1"/>
    <col min="12808" max="12808" width="1.375" style="377" customWidth="1"/>
    <col min="12809" max="12809" width="2.125" style="377" customWidth="1"/>
    <col min="12810" max="12811" width="3" style="377" customWidth="1"/>
    <col min="12812" max="12814" width="2.875" style="377" customWidth="1"/>
    <col min="12815" max="12815" width="3" style="377" customWidth="1"/>
    <col min="12816" max="12816" width="2.875" style="377" customWidth="1"/>
    <col min="12817" max="12817" width="2.125" style="377" customWidth="1"/>
    <col min="12818" max="12819" width="2.75" style="377" customWidth="1"/>
    <col min="12820" max="12821" width="2.125" style="377" customWidth="1"/>
    <col min="12822" max="12859" width="2.875" style="377" customWidth="1"/>
    <col min="12860" max="13056" width="9" style="377" customWidth="1"/>
    <col min="13057" max="13058" width="1.75" style="377" customWidth="1"/>
    <col min="13059" max="13059" width="2.875" style="377" customWidth="1"/>
    <col min="13060" max="13060" width="3" style="377" customWidth="1"/>
    <col min="13061" max="13062" width="3.625" style="377" customWidth="1"/>
    <col min="13063" max="13063" width="3.25" style="377" customWidth="1"/>
    <col min="13064" max="13064" width="1.375" style="377" customWidth="1"/>
    <col min="13065" max="13065" width="2.125" style="377" customWidth="1"/>
    <col min="13066" max="13067" width="3" style="377" customWidth="1"/>
    <col min="13068" max="13070" width="2.875" style="377" customWidth="1"/>
    <col min="13071" max="13071" width="3" style="377" customWidth="1"/>
    <col min="13072" max="13072" width="2.875" style="377" customWidth="1"/>
    <col min="13073" max="13073" width="2.125" style="377" customWidth="1"/>
    <col min="13074" max="13075" width="2.75" style="377" customWidth="1"/>
    <col min="13076" max="13077" width="2.125" style="377" customWidth="1"/>
    <col min="13078" max="13115" width="2.875" style="377" customWidth="1"/>
    <col min="13116" max="13312" width="9" style="377" customWidth="1"/>
    <col min="13313" max="13314" width="1.75" style="377" customWidth="1"/>
    <col min="13315" max="13315" width="2.875" style="377" customWidth="1"/>
    <col min="13316" max="13316" width="3" style="377" customWidth="1"/>
    <col min="13317" max="13318" width="3.625" style="377" customWidth="1"/>
    <col min="13319" max="13319" width="3.25" style="377" customWidth="1"/>
    <col min="13320" max="13320" width="1.375" style="377" customWidth="1"/>
    <col min="13321" max="13321" width="2.125" style="377" customWidth="1"/>
    <col min="13322" max="13323" width="3" style="377" customWidth="1"/>
    <col min="13324" max="13326" width="2.875" style="377" customWidth="1"/>
    <col min="13327" max="13327" width="3" style="377" customWidth="1"/>
    <col min="13328" max="13328" width="2.875" style="377" customWidth="1"/>
    <col min="13329" max="13329" width="2.125" style="377" customWidth="1"/>
    <col min="13330" max="13331" width="2.75" style="377" customWidth="1"/>
    <col min="13332" max="13333" width="2.125" style="377" customWidth="1"/>
    <col min="13334" max="13371" width="2.875" style="377" customWidth="1"/>
    <col min="13372" max="13568" width="9" style="377" customWidth="1"/>
    <col min="13569" max="13570" width="1.75" style="377" customWidth="1"/>
    <col min="13571" max="13571" width="2.875" style="377" customWidth="1"/>
    <col min="13572" max="13572" width="3" style="377" customWidth="1"/>
    <col min="13573" max="13574" width="3.625" style="377" customWidth="1"/>
    <col min="13575" max="13575" width="3.25" style="377" customWidth="1"/>
    <col min="13576" max="13576" width="1.375" style="377" customWidth="1"/>
    <col min="13577" max="13577" width="2.125" style="377" customWidth="1"/>
    <col min="13578" max="13579" width="3" style="377" customWidth="1"/>
    <col min="13580" max="13582" width="2.875" style="377" customWidth="1"/>
    <col min="13583" max="13583" width="3" style="377" customWidth="1"/>
    <col min="13584" max="13584" width="2.875" style="377" customWidth="1"/>
    <col min="13585" max="13585" width="2.125" style="377" customWidth="1"/>
    <col min="13586" max="13587" width="2.75" style="377" customWidth="1"/>
    <col min="13588" max="13589" width="2.125" style="377" customWidth="1"/>
    <col min="13590" max="13627" width="2.875" style="377" customWidth="1"/>
    <col min="13628" max="13824" width="9" style="377" customWidth="1"/>
    <col min="13825" max="13826" width="1.75" style="377" customWidth="1"/>
    <col min="13827" max="13827" width="2.875" style="377" customWidth="1"/>
    <col min="13828" max="13828" width="3" style="377" customWidth="1"/>
    <col min="13829" max="13830" width="3.625" style="377" customWidth="1"/>
    <col min="13831" max="13831" width="3.25" style="377" customWidth="1"/>
    <col min="13832" max="13832" width="1.375" style="377" customWidth="1"/>
    <col min="13833" max="13833" width="2.125" style="377" customWidth="1"/>
    <col min="13834" max="13835" width="3" style="377" customWidth="1"/>
    <col min="13836" max="13838" width="2.875" style="377" customWidth="1"/>
    <col min="13839" max="13839" width="3" style="377" customWidth="1"/>
    <col min="13840" max="13840" width="2.875" style="377" customWidth="1"/>
    <col min="13841" max="13841" width="2.125" style="377" customWidth="1"/>
    <col min="13842" max="13843" width="2.75" style="377" customWidth="1"/>
    <col min="13844" max="13845" width="2.125" style="377" customWidth="1"/>
    <col min="13846" max="13883" width="2.875" style="377" customWidth="1"/>
    <col min="13884" max="14080" width="9" style="377" customWidth="1"/>
    <col min="14081" max="14082" width="1.75" style="377" customWidth="1"/>
    <col min="14083" max="14083" width="2.875" style="377" customWidth="1"/>
    <col min="14084" max="14084" width="3" style="377" customWidth="1"/>
    <col min="14085" max="14086" width="3.625" style="377" customWidth="1"/>
    <col min="14087" max="14087" width="3.25" style="377" customWidth="1"/>
    <col min="14088" max="14088" width="1.375" style="377" customWidth="1"/>
    <col min="14089" max="14089" width="2.125" style="377" customWidth="1"/>
    <col min="14090" max="14091" width="3" style="377" customWidth="1"/>
    <col min="14092" max="14094" width="2.875" style="377" customWidth="1"/>
    <col min="14095" max="14095" width="3" style="377" customWidth="1"/>
    <col min="14096" max="14096" width="2.875" style="377" customWidth="1"/>
    <col min="14097" max="14097" width="2.125" style="377" customWidth="1"/>
    <col min="14098" max="14099" width="2.75" style="377" customWidth="1"/>
    <col min="14100" max="14101" width="2.125" style="377" customWidth="1"/>
    <col min="14102" max="14139" width="2.875" style="377" customWidth="1"/>
    <col min="14140" max="14336" width="9" style="377" customWidth="1"/>
    <col min="14337" max="14338" width="1.75" style="377" customWidth="1"/>
    <col min="14339" max="14339" width="2.875" style="377" customWidth="1"/>
    <col min="14340" max="14340" width="3" style="377" customWidth="1"/>
    <col min="14341" max="14342" width="3.625" style="377" customWidth="1"/>
    <col min="14343" max="14343" width="3.25" style="377" customWidth="1"/>
    <col min="14344" max="14344" width="1.375" style="377" customWidth="1"/>
    <col min="14345" max="14345" width="2.125" style="377" customWidth="1"/>
    <col min="14346" max="14347" width="3" style="377" customWidth="1"/>
    <col min="14348" max="14350" width="2.875" style="377" customWidth="1"/>
    <col min="14351" max="14351" width="3" style="377" customWidth="1"/>
    <col min="14352" max="14352" width="2.875" style="377" customWidth="1"/>
    <col min="14353" max="14353" width="2.125" style="377" customWidth="1"/>
    <col min="14354" max="14355" width="2.75" style="377" customWidth="1"/>
    <col min="14356" max="14357" width="2.125" style="377" customWidth="1"/>
    <col min="14358" max="14395" width="2.875" style="377" customWidth="1"/>
    <col min="14396" max="14592" width="9" style="377" customWidth="1"/>
    <col min="14593" max="14594" width="1.75" style="377" customWidth="1"/>
    <col min="14595" max="14595" width="2.875" style="377" customWidth="1"/>
    <col min="14596" max="14596" width="3" style="377" customWidth="1"/>
    <col min="14597" max="14598" width="3.625" style="377" customWidth="1"/>
    <col min="14599" max="14599" width="3.25" style="377" customWidth="1"/>
    <col min="14600" max="14600" width="1.375" style="377" customWidth="1"/>
    <col min="14601" max="14601" width="2.125" style="377" customWidth="1"/>
    <col min="14602" max="14603" width="3" style="377" customWidth="1"/>
    <col min="14604" max="14606" width="2.875" style="377" customWidth="1"/>
    <col min="14607" max="14607" width="3" style="377" customWidth="1"/>
    <col min="14608" max="14608" width="2.875" style="377" customWidth="1"/>
    <col min="14609" max="14609" width="2.125" style="377" customWidth="1"/>
    <col min="14610" max="14611" width="2.75" style="377" customWidth="1"/>
    <col min="14612" max="14613" width="2.125" style="377" customWidth="1"/>
    <col min="14614" max="14651" width="2.875" style="377" customWidth="1"/>
    <col min="14652" max="14848" width="9" style="377" customWidth="1"/>
    <col min="14849" max="14850" width="1.75" style="377" customWidth="1"/>
    <col min="14851" max="14851" width="2.875" style="377" customWidth="1"/>
    <col min="14852" max="14852" width="3" style="377" customWidth="1"/>
    <col min="14853" max="14854" width="3.625" style="377" customWidth="1"/>
    <col min="14855" max="14855" width="3.25" style="377" customWidth="1"/>
    <col min="14856" max="14856" width="1.375" style="377" customWidth="1"/>
    <col min="14857" max="14857" width="2.125" style="377" customWidth="1"/>
    <col min="14858" max="14859" width="3" style="377" customWidth="1"/>
    <col min="14860" max="14862" width="2.875" style="377" customWidth="1"/>
    <col min="14863" max="14863" width="3" style="377" customWidth="1"/>
    <col min="14864" max="14864" width="2.875" style="377" customWidth="1"/>
    <col min="14865" max="14865" width="2.125" style="377" customWidth="1"/>
    <col min="14866" max="14867" width="2.75" style="377" customWidth="1"/>
    <col min="14868" max="14869" width="2.125" style="377" customWidth="1"/>
    <col min="14870" max="14907" width="2.875" style="377" customWidth="1"/>
    <col min="14908" max="15104" width="9" style="377" customWidth="1"/>
    <col min="15105" max="15106" width="1.75" style="377" customWidth="1"/>
    <col min="15107" max="15107" width="2.875" style="377" customWidth="1"/>
    <col min="15108" max="15108" width="3" style="377" customWidth="1"/>
    <col min="15109" max="15110" width="3.625" style="377" customWidth="1"/>
    <col min="15111" max="15111" width="3.25" style="377" customWidth="1"/>
    <col min="15112" max="15112" width="1.375" style="377" customWidth="1"/>
    <col min="15113" max="15113" width="2.125" style="377" customWidth="1"/>
    <col min="15114" max="15115" width="3" style="377" customWidth="1"/>
    <col min="15116" max="15118" width="2.875" style="377" customWidth="1"/>
    <col min="15119" max="15119" width="3" style="377" customWidth="1"/>
    <col min="15120" max="15120" width="2.875" style="377" customWidth="1"/>
    <col min="15121" max="15121" width="2.125" style="377" customWidth="1"/>
    <col min="15122" max="15123" width="2.75" style="377" customWidth="1"/>
    <col min="15124" max="15125" width="2.125" style="377" customWidth="1"/>
    <col min="15126" max="15163" width="2.875" style="377" customWidth="1"/>
    <col min="15164" max="15360" width="9" style="377" customWidth="1"/>
    <col min="15361" max="15362" width="1.75" style="377" customWidth="1"/>
    <col min="15363" max="15363" width="2.875" style="377" customWidth="1"/>
    <col min="15364" max="15364" width="3" style="377" customWidth="1"/>
    <col min="15365" max="15366" width="3.625" style="377" customWidth="1"/>
    <col min="15367" max="15367" width="3.25" style="377" customWidth="1"/>
    <col min="15368" max="15368" width="1.375" style="377" customWidth="1"/>
    <col min="15369" max="15369" width="2.125" style="377" customWidth="1"/>
    <col min="15370" max="15371" width="3" style="377" customWidth="1"/>
    <col min="15372" max="15374" width="2.875" style="377" customWidth="1"/>
    <col min="15375" max="15375" width="3" style="377" customWidth="1"/>
    <col min="15376" max="15376" width="2.875" style="377" customWidth="1"/>
    <col min="15377" max="15377" width="2.125" style="377" customWidth="1"/>
    <col min="15378" max="15379" width="2.75" style="377" customWidth="1"/>
    <col min="15380" max="15381" width="2.125" style="377" customWidth="1"/>
    <col min="15382" max="15419" width="2.875" style="377" customWidth="1"/>
    <col min="15420" max="15616" width="9" style="377" customWidth="1"/>
    <col min="15617" max="15618" width="1.75" style="377" customWidth="1"/>
    <col min="15619" max="15619" width="2.875" style="377" customWidth="1"/>
    <col min="15620" max="15620" width="3" style="377" customWidth="1"/>
    <col min="15621" max="15622" width="3.625" style="377" customWidth="1"/>
    <col min="15623" max="15623" width="3.25" style="377" customWidth="1"/>
    <col min="15624" max="15624" width="1.375" style="377" customWidth="1"/>
    <col min="15625" max="15625" width="2.125" style="377" customWidth="1"/>
    <col min="15626" max="15627" width="3" style="377" customWidth="1"/>
    <col min="15628" max="15630" width="2.875" style="377" customWidth="1"/>
    <col min="15631" max="15631" width="3" style="377" customWidth="1"/>
    <col min="15632" max="15632" width="2.875" style="377" customWidth="1"/>
    <col min="15633" max="15633" width="2.125" style="377" customWidth="1"/>
    <col min="15634" max="15635" width="2.75" style="377" customWidth="1"/>
    <col min="15636" max="15637" width="2.125" style="377" customWidth="1"/>
    <col min="15638" max="15675" width="2.875" style="377" customWidth="1"/>
    <col min="15676" max="15872" width="9" style="377" customWidth="1"/>
    <col min="15873" max="15874" width="1.75" style="377" customWidth="1"/>
    <col min="15875" max="15875" width="2.875" style="377" customWidth="1"/>
    <col min="15876" max="15876" width="3" style="377" customWidth="1"/>
    <col min="15877" max="15878" width="3.625" style="377" customWidth="1"/>
    <col min="15879" max="15879" width="3.25" style="377" customWidth="1"/>
    <col min="15880" max="15880" width="1.375" style="377" customWidth="1"/>
    <col min="15881" max="15881" width="2.125" style="377" customWidth="1"/>
    <col min="15882" max="15883" width="3" style="377" customWidth="1"/>
    <col min="15884" max="15886" width="2.875" style="377" customWidth="1"/>
    <col min="15887" max="15887" width="3" style="377" customWidth="1"/>
    <col min="15888" max="15888" width="2.875" style="377" customWidth="1"/>
    <col min="15889" max="15889" width="2.125" style="377" customWidth="1"/>
    <col min="15890" max="15891" width="2.75" style="377" customWidth="1"/>
    <col min="15892" max="15893" width="2.125" style="377" customWidth="1"/>
    <col min="15894" max="15931" width="2.875" style="377" customWidth="1"/>
    <col min="15932" max="16128" width="9" style="377" customWidth="1"/>
    <col min="16129" max="16130" width="1.75" style="377" customWidth="1"/>
    <col min="16131" max="16131" width="2.875" style="377" customWidth="1"/>
    <col min="16132" max="16132" width="3" style="377" customWidth="1"/>
    <col min="16133" max="16134" width="3.625" style="377" customWidth="1"/>
    <col min="16135" max="16135" width="3.25" style="377" customWidth="1"/>
    <col min="16136" max="16136" width="1.375" style="377" customWidth="1"/>
    <col min="16137" max="16137" width="2.125" style="377" customWidth="1"/>
    <col min="16138" max="16139" width="3" style="377" customWidth="1"/>
    <col min="16140" max="16142" width="2.875" style="377" customWidth="1"/>
    <col min="16143" max="16143" width="3" style="377" customWidth="1"/>
    <col min="16144" max="16144" width="2.875" style="377" customWidth="1"/>
    <col min="16145" max="16145" width="2.125" style="377" customWidth="1"/>
    <col min="16146" max="16147" width="2.75" style="377" customWidth="1"/>
    <col min="16148" max="16149" width="2.125" style="377" customWidth="1"/>
    <col min="16150" max="16187" width="2.875" style="377" customWidth="1"/>
    <col min="16188" max="16384" width="9" style="377" customWidth="1"/>
  </cols>
  <sheetData>
    <row r="1" spans="2:30" ht="15" customHeight="1">
      <c r="C1" s="378" t="s">
        <v>2906</v>
      </c>
    </row>
    <row r="2" spans="2:30" s="381" customFormat="1" ht="15" customHeight="1">
      <c r="B2" s="379"/>
      <c r="C2" s="380"/>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row>
    <row r="3" spans="2:30" s="381" customFormat="1" ht="15" customHeight="1">
      <c r="C3" s="378" t="s">
        <v>3828</v>
      </c>
    </row>
    <row r="4" spans="2:30" s="382" customFormat="1" ht="15" customHeight="1">
      <c r="D4" s="383" t="s">
        <v>2907</v>
      </c>
      <c r="F4" s="383"/>
      <c r="G4" s="383"/>
      <c r="H4" s="383"/>
      <c r="I4" s="1544" t="str">
        <f>cst_wskakunin_owner2_NAME_KANA</f>
        <v/>
      </c>
      <c r="J4" s="1544"/>
      <c r="K4" s="1544"/>
      <c r="L4" s="1544"/>
      <c r="M4" s="1544"/>
      <c r="N4" s="1544"/>
      <c r="O4" s="1544"/>
      <c r="P4" s="1544"/>
      <c r="Q4" s="1544"/>
      <c r="R4" s="1544"/>
      <c r="S4" s="1544"/>
      <c r="T4" s="1544"/>
      <c r="U4" s="1544"/>
      <c r="V4" s="1544"/>
      <c r="W4" s="1544"/>
      <c r="X4" s="1544"/>
      <c r="Y4" s="1544"/>
      <c r="Z4" s="1544"/>
      <c r="AA4" s="1544"/>
      <c r="AB4" s="1544"/>
      <c r="AC4" s="1544"/>
      <c r="AD4" s="1544"/>
    </row>
    <row r="5" spans="2:30" s="382" customFormat="1" ht="15" customHeight="1">
      <c r="D5" s="383" t="s">
        <v>2908</v>
      </c>
      <c r="F5" s="383"/>
      <c r="G5" s="383"/>
      <c r="H5" s="383"/>
      <c r="I5" s="1544" t="str">
        <f>cst_wskakunin_owner2_NAME</f>
        <v/>
      </c>
      <c r="J5" s="1544"/>
      <c r="K5" s="1544"/>
      <c r="L5" s="1544"/>
      <c r="M5" s="1544"/>
      <c r="N5" s="1544"/>
      <c r="O5" s="1544"/>
      <c r="P5" s="1544"/>
      <c r="Q5" s="1544"/>
      <c r="R5" s="1544"/>
      <c r="S5" s="1544"/>
      <c r="T5" s="1544"/>
      <c r="U5" s="1544"/>
      <c r="V5" s="1544"/>
      <c r="W5" s="1544"/>
      <c r="X5" s="1544"/>
      <c r="Y5" s="1544"/>
      <c r="Z5" s="1544"/>
      <c r="AA5" s="1544"/>
      <c r="AB5" s="1544"/>
      <c r="AC5" s="1544"/>
      <c r="AD5" s="1544"/>
    </row>
    <row r="6" spans="2:30" s="382" customFormat="1" ht="15" customHeight="1">
      <c r="D6" s="383" t="s">
        <v>1065</v>
      </c>
      <c r="F6" s="383"/>
      <c r="G6" s="383"/>
      <c r="H6" s="383"/>
      <c r="I6" s="1544" t="str">
        <f>cst_wskakunin_owner2_ZIP</f>
        <v/>
      </c>
      <c r="J6" s="1544"/>
      <c r="K6" s="1544"/>
      <c r="L6" s="1544"/>
      <c r="M6" s="1544"/>
      <c r="N6" s="1544"/>
      <c r="O6" s="1544"/>
      <c r="P6" s="1544"/>
      <c r="Q6" s="1544"/>
      <c r="R6" s="1544"/>
      <c r="S6" s="1544"/>
      <c r="T6" s="1544"/>
      <c r="U6" s="1544"/>
      <c r="V6" s="1544"/>
      <c r="W6" s="1544"/>
      <c r="X6" s="1544"/>
      <c r="Y6" s="1544"/>
      <c r="Z6" s="1544"/>
      <c r="AA6" s="1544"/>
      <c r="AB6" s="1544"/>
      <c r="AC6" s="1544"/>
      <c r="AD6" s="1544"/>
    </row>
    <row r="7" spans="2:30" ht="15" customHeight="1">
      <c r="B7" s="384"/>
      <c r="C7" s="384"/>
      <c r="D7" s="385" t="s">
        <v>2909</v>
      </c>
      <c r="E7" s="384"/>
      <c r="F7" s="384"/>
      <c r="G7" s="384"/>
      <c r="H7" s="384"/>
      <c r="I7" s="1545" t="str">
        <f>cst_wskakunin_owner2__address</f>
        <v/>
      </c>
      <c r="J7" s="1545"/>
      <c r="K7" s="1545"/>
      <c r="L7" s="1545"/>
      <c r="M7" s="1545"/>
      <c r="N7" s="1545"/>
      <c r="O7" s="1545"/>
      <c r="P7" s="1545"/>
      <c r="Q7" s="1545"/>
      <c r="R7" s="1545"/>
      <c r="S7" s="1545"/>
      <c r="T7" s="1545"/>
      <c r="U7" s="1545"/>
      <c r="V7" s="1545"/>
      <c r="W7" s="1545"/>
      <c r="X7" s="1545"/>
      <c r="Y7" s="1545"/>
      <c r="Z7" s="1545"/>
      <c r="AA7" s="1545"/>
      <c r="AB7" s="1545"/>
      <c r="AC7" s="1545"/>
      <c r="AD7" s="1545"/>
    </row>
    <row r="8" spans="2:30" ht="15" customHeight="1">
      <c r="C8" s="378" t="s">
        <v>3829</v>
      </c>
    </row>
    <row r="9" spans="2:30" s="382" customFormat="1" ht="15" customHeight="1">
      <c r="D9" s="383" t="s">
        <v>2907</v>
      </c>
      <c r="F9" s="383"/>
      <c r="G9" s="383"/>
      <c r="H9" s="383"/>
      <c r="I9" s="1544" t="str">
        <f>cst_wskakunin_owner3_NAME_KANA</f>
        <v/>
      </c>
      <c r="J9" s="1544"/>
      <c r="K9" s="1544"/>
      <c r="L9" s="1544"/>
      <c r="M9" s="1544"/>
      <c r="N9" s="1544"/>
      <c r="O9" s="1544"/>
      <c r="P9" s="1544"/>
      <c r="Q9" s="1544"/>
      <c r="R9" s="1544"/>
      <c r="S9" s="1544"/>
      <c r="T9" s="1544"/>
      <c r="U9" s="1544"/>
      <c r="V9" s="1544"/>
      <c r="W9" s="1544"/>
      <c r="X9" s="1544"/>
      <c r="Y9" s="1544"/>
      <c r="Z9" s="1544"/>
      <c r="AA9" s="1544"/>
      <c r="AB9" s="1544"/>
      <c r="AC9" s="1544"/>
      <c r="AD9" s="1544"/>
    </row>
    <row r="10" spans="2:30" s="382" customFormat="1" ht="15" customHeight="1">
      <c r="D10" s="383" t="s">
        <v>2908</v>
      </c>
      <c r="F10" s="383"/>
      <c r="G10" s="383"/>
      <c r="H10" s="383"/>
      <c r="I10" s="1544" t="str">
        <f>cst_wskakunin_owner3_NAME</f>
        <v/>
      </c>
      <c r="J10" s="1544"/>
      <c r="K10" s="1544"/>
      <c r="L10" s="1544"/>
      <c r="M10" s="1544"/>
      <c r="N10" s="1544"/>
      <c r="O10" s="1544"/>
      <c r="P10" s="1544"/>
      <c r="Q10" s="1544"/>
      <c r="R10" s="1544"/>
      <c r="S10" s="1544"/>
      <c r="T10" s="1544"/>
      <c r="U10" s="1544"/>
      <c r="V10" s="1544"/>
      <c r="W10" s="1544"/>
      <c r="X10" s="1544"/>
      <c r="Y10" s="1544"/>
      <c r="Z10" s="1544"/>
      <c r="AA10" s="1544"/>
      <c r="AB10" s="1544"/>
      <c r="AC10" s="1544"/>
      <c r="AD10" s="1544"/>
    </row>
    <row r="11" spans="2:30" s="382" customFormat="1" ht="15" customHeight="1">
      <c r="D11" s="383" t="s">
        <v>1065</v>
      </c>
      <c r="F11" s="383"/>
      <c r="G11" s="383"/>
      <c r="H11" s="383"/>
      <c r="I11" s="1544" t="str">
        <f>cst_wskakunin_owner3_ZIP</f>
        <v/>
      </c>
      <c r="J11" s="1544"/>
      <c r="K11" s="1544"/>
      <c r="L11" s="1544"/>
      <c r="M11" s="1544"/>
      <c r="N11" s="1544"/>
      <c r="O11" s="1544"/>
      <c r="P11" s="1544"/>
      <c r="Q11" s="1544"/>
      <c r="R11" s="1544"/>
      <c r="S11" s="1544"/>
      <c r="T11" s="1544"/>
      <c r="U11" s="1544"/>
      <c r="V11" s="1544"/>
      <c r="W11" s="1544"/>
      <c r="X11" s="1544"/>
      <c r="Y11" s="1544"/>
      <c r="Z11" s="1544"/>
      <c r="AA11" s="1544"/>
      <c r="AB11" s="1544"/>
      <c r="AC11" s="1544"/>
      <c r="AD11" s="1544"/>
    </row>
    <row r="12" spans="2:30" ht="15" customHeight="1">
      <c r="B12" s="384"/>
      <c r="C12" s="384"/>
      <c r="D12" s="385" t="s">
        <v>2909</v>
      </c>
      <c r="E12" s="384"/>
      <c r="F12" s="384"/>
      <c r="G12" s="384"/>
      <c r="H12" s="384"/>
      <c r="I12" s="1545" t="str">
        <f>cst_wskakunin_owner3__address</f>
        <v/>
      </c>
      <c r="J12" s="1545"/>
      <c r="K12" s="1545"/>
      <c r="L12" s="1545"/>
      <c r="M12" s="1545"/>
      <c r="N12" s="1545"/>
      <c r="O12" s="1545"/>
      <c r="P12" s="1545"/>
      <c r="Q12" s="1545"/>
      <c r="R12" s="1545"/>
      <c r="S12" s="1545"/>
      <c r="T12" s="1545"/>
      <c r="U12" s="1545"/>
      <c r="V12" s="1545"/>
      <c r="W12" s="1545"/>
      <c r="X12" s="1545"/>
      <c r="Y12" s="1545"/>
      <c r="Z12" s="1545"/>
      <c r="AA12" s="1545"/>
      <c r="AB12" s="1545"/>
      <c r="AC12" s="1545"/>
      <c r="AD12" s="1545"/>
    </row>
    <row r="13" spans="2:30" ht="15" customHeight="1">
      <c r="C13" s="378" t="s">
        <v>3830</v>
      </c>
    </row>
    <row r="14" spans="2:30" s="382" customFormat="1" ht="15" customHeight="1">
      <c r="D14" s="383" t="s">
        <v>2907</v>
      </c>
      <c r="F14" s="383"/>
      <c r="G14" s="383"/>
      <c r="H14" s="383"/>
      <c r="I14" s="1544" t="str">
        <f>cst_wskakunin_owner4_NAME_KANA</f>
        <v/>
      </c>
      <c r="J14" s="1544"/>
      <c r="K14" s="1544"/>
      <c r="L14" s="1544"/>
      <c r="M14" s="1544"/>
      <c r="N14" s="1544"/>
      <c r="O14" s="1544"/>
      <c r="P14" s="1544"/>
      <c r="Q14" s="1544"/>
      <c r="R14" s="1544"/>
      <c r="S14" s="1544"/>
      <c r="T14" s="1544"/>
      <c r="U14" s="1544"/>
      <c r="V14" s="1544"/>
      <c r="W14" s="1544"/>
      <c r="X14" s="1544"/>
      <c r="Y14" s="1544"/>
      <c r="Z14" s="1544"/>
      <c r="AA14" s="1544"/>
      <c r="AB14" s="1544"/>
      <c r="AC14" s="1544"/>
      <c r="AD14" s="1544"/>
    </row>
    <row r="15" spans="2:30" s="382" customFormat="1" ht="15" customHeight="1">
      <c r="D15" s="383" t="s">
        <v>2908</v>
      </c>
      <c r="F15" s="383"/>
      <c r="G15" s="383"/>
      <c r="H15" s="383"/>
      <c r="I15" s="1544" t="str">
        <f>cst_wskakunin_owner4_NAME</f>
        <v/>
      </c>
      <c r="J15" s="1544"/>
      <c r="K15" s="1544"/>
      <c r="L15" s="1544"/>
      <c r="M15" s="1544"/>
      <c r="N15" s="1544"/>
      <c r="O15" s="1544"/>
      <c r="P15" s="1544"/>
      <c r="Q15" s="1544"/>
      <c r="R15" s="1544"/>
      <c r="S15" s="1544"/>
      <c r="T15" s="1544"/>
      <c r="U15" s="1544"/>
      <c r="V15" s="1544"/>
      <c r="W15" s="1544"/>
      <c r="X15" s="1544"/>
      <c r="Y15" s="1544"/>
      <c r="Z15" s="1544"/>
      <c r="AA15" s="1544"/>
      <c r="AB15" s="1544"/>
      <c r="AC15" s="1544"/>
      <c r="AD15" s="1544"/>
    </row>
    <row r="16" spans="2:30" s="382" customFormat="1" ht="15" customHeight="1">
      <c r="D16" s="383" t="s">
        <v>1065</v>
      </c>
      <c r="F16" s="383"/>
      <c r="G16" s="383"/>
      <c r="H16" s="383"/>
      <c r="I16" s="1544" t="str">
        <f>cst_wskakunin_owner4_ZIP</f>
        <v/>
      </c>
      <c r="J16" s="1544"/>
      <c r="K16" s="1544"/>
      <c r="L16" s="1544"/>
      <c r="M16" s="1544"/>
      <c r="N16" s="1544"/>
      <c r="O16" s="1544"/>
      <c r="P16" s="1544"/>
      <c r="Q16" s="1544"/>
      <c r="R16" s="1544"/>
      <c r="S16" s="1544"/>
      <c r="T16" s="1544"/>
      <c r="U16" s="1544"/>
      <c r="V16" s="1544"/>
      <c r="W16" s="1544"/>
      <c r="X16" s="1544"/>
      <c r="Y16" s="1544"/>
      <c r="Z16" s="1544"/>
      <c r="AA16" s="1544"/>
      <c r="AB16" s="1544"/>
      <c r="AC16" s="1544"/>
      <c r="AD16" s="1544"/>
    </row>
    <row r="17" spans="2:30" ht="15" customHeight="1">
      <c r="B17" s="384"/>
      <c r="C17" s="384"/>
      <c r="D17" s="385" t="s">
        <v>2909</v>
      </c>
      <c r="E17" s="384"/>
      <c r="F17" s="384"/>
      <c r="G17" s="384"/>
      <c r="H17" s="384"/>
      <c r="I17" s="1545" t="str">
        <f>cst_wskakunin_owner4__address</f>
        <v/>
      </c>
      <c r="J17" s="1545"/>
      <c r="K17" s="1545"/>
      <c r="L17" s="1545"/>
      <c r="M17" s="1545"/>
      <c r="N17" s="1545"/>
      <c r="O17" s="1545"/>
      <c r="P17" s="1545"/>
      <c r="Q17" s="1545"/>
      <c r="R17" s="1545"/>
      <c r="S17" s="1545"/>
      <c r="T17" s="1545"/>
      <c r="U17" s="1545"/>
      <c r="V17" s="1545"/>
      <c r="W17" s="1545"/>
      <c r="X17" s="1545"/>
      <c r="Y17" s="1545"/>
      <c r="Z17" s="1545"/>
      <c r="AA17" s="1545"/>
      <c r="AB17" s="1545"/>
      <c r="AC17" s="1545"/>
      <c r="AD17" s="1545"/>
    </row>
    <row r="18" spans="2:30" ht="15" customHeight="1">
      <c r="C18" s="378" t="s">
        <v>3831</v>
      </c>
    </row>
    <row r="19" spans="2:30" s="382" customFormat="1" ht="15" customHeight="1">
      <c r="D19" s="383" t="s">
        <v>2907</v>
      </c>
      <c r="F19" s="383"/>
      <c r="G19" s="383"/>
      <c r="H19" s="383"/>
      <c r="I19" s="1544" t="str">
        <f>cst_wskakunin_owner5_NAME_KANA</f>
        <v/>
      </c>
      <c r="J19" s="1544"/>
      <c r="K19" s="1544"/>
      <c r="L19" s="1544"/>
      <c r="M19" s="1544"/>
      <c r="N19" s="1544"/>
      <c r="O19" s="1544"/>
      <c r="P19" s="1544"/>
      <c r="Q19" s="1544"/>
      <c r="R19" s="1544"/>
      <c r="S19" s="1544"/>
      <c r="T19" s="1544"/>
      <c r="U19" s="1544"/>
      <c r="V19" s="1544"/>
      <c r="W19" s="1544"/>
      <c r="X19" s="1544"/>
      <c r="Y19" s="1544"/>
      <c r="Z19" s="1544"/>
      <c r="AA19" s="1544"/>
      <c r="AB19" s="1544"/>
      <c r="AC19" s="1544"/>
      <c r="AD19" s="1544"/>
    </row>
    <row r="20" spans="2:30" s="382" customFormat="1" ht="15" customHeight="1">
      <c r="D20" s="383" t="s">
        <v>2908</v>
      </c>
      <c r="F20" s="383"/>
      <c r="G20" s="383"/>
      <c r="H20" s="383"/>
      <c r="I20" s="1544" t="str">
        <f>cst_wskakunin_owner5_NAME</f>
        <v/>
      </c>
      <c r="J20" s="1544"/>
      <c r="K20" s="1544"/>
      <c r="L20" s="1544"/>
      <c r="M20" s="1544"/>
      <c r="N20" s="1544"/>
      <c r="O20" s="1544"/>
      <c r="P20" s="1544"/>
      <c r="Q20" s="1544"/>
      <c r="R20" s="1544"/>
      <c r="S20" s="1544"/>
      <c r="T20" s="1544"/>
      <c r="U20" s="1544"/>
      <c r="V20" s="1544"/>
      <c r="W20" s="1544"/>
      <c r="X20" s="1544"/>
      <c r="Y20" s="1544"/>
      <c r="Z20" s="1544"/>
      <c r="AA20" s="1544"/>
      <c r="AB20" s="1544"/>
      <c r="AC20" s="1544"/>
      <c r="AD20" s="1544"/>
    </row>
    <row r="21" spans="2:30" s="382" customFormat="1" ht="15" customHeight="1">
      <c r="D21" s="383" t="s">
        <v>1065</v>
      </c>
      <c r="F21" s="383"/>
      <c r="G21" s="383"/>
      <c r="H21" s="383"/>
      <c r="I21" s="1544" t="str">
        <f>cst_wskakunin_owner5_ZIP</f>
        <v/>
      </c>
      <c r="J21" s="1544"/>
      <c r="K21" s="1544"/>
      <c r="L21" s="1544"/>
      <c r="M21" s="1544"/>
      <c r="N21" s="1544"/>
      <c r="O21" s="1544"/>
      <c r="P21" s="1544"/>
      <c r="Q21" s="1544"/>
      <c r="R21" s="1544"/>
      <c r="S21" s="1544"/>
      <c r="T21" s="1544"/>
      <c r="U21" s="1544"/>
      <c r="V21" s="1544"/>
      <c r="W21" s="1544"/>
      <c r="X21" s="1544"/>
      <c r="Y21" s="1544"/>
      <c r="Z21" s="1544"/>
      <c r="AA21" s="1544"/>
      <c r="AB21" s="1544"/>
      <c r="AC21" s="1544"/>
      <c r="AD21" s="1544"/>
    </row>
    <row r="22" spans="2:30" ht="15" customHeight="1">
      <c r="B22" s="384"/>
      <c r="C22" s="384"/>
      <c r="D22" s="385" t="s">
        <v>2909</v>
      </c>
      <c r="E22" s="384"/>
      <c r="F22" s="384"/>
      <c r="G22" s="384"/>
      <c r="H22" s="384"/>
      <c r="I22" s="1545" t="str">
        <f>cst_wskakunin_owner5__address</f>
        <v/>
      </c>
      <c r="J22" s="1545"/>
      <c r="K22" s="1545"/>
      <c r="L22" s="1545"/>
      <c r="M22" s="1545"/>
      <c r="N22" s="1545"/>
      <c r="O22" s="1545"/>
      <c r="P22" s="1545"/>
      <c r="Q22" s="1545"/>
      <c r="R22" s="1545"/>
      <c r="S22" s="1545"/>
      <c r="T22" s="1545"/>
      <c r="U22" s="1545"/>
      <c r="V22" s="1545"/>
      <c r="W22" s="1545"/>
      <c r="X22" s="1545"/>
      <c r="Y22" s="1545"/>
      <c r="Z22" s="1545"/>
      <c r="AA22" s="1545"/>
      <c r="AB22" s="1545"/>
      <c r="AC22" s="1545"/>
      <c r="AD22" s="1545"/>
    </row>
    <row r="23" spans="2:30" ht="15" customHeight="1">
      <c r="C23" s="378" t="s">
        <v>3832</v>
      </c>
    </row>
    <row r="24" spans="2:30" s="382" customFormat="1" ht="15" customHeight="1">
      <c r="D24" s="383" t="s">
        <v>2907</v>
      </c>
      <c r="F24" s="383"/>
      <c r="G24" s="383"/>
      <c r="H24" s="383"/>
      <c r="I24" s="1544" t="str">
        <f>cst_wskakunin_owner6_NAME_KANA</f>
        <v/>
      </c>
      <c r="J24" s="1544"/>
      <c r="K24" s="1544"/>
      <c r="L24" s="1544"/>
      <c r="M24" s="1544"/>
      <c r="N24" s="1544"/>
      <c r="O24" s="1544"/>
      <c r="P24" s="1544"/>
      <c r="Q24" s="1544"/>
      <c r="R24" s="1544"/>
      <c r="S24" s="1544"/>
      <c r="T24" s="1544"/>
      <c r="U24" s="1544"/>
      <c r="V24" s="1544"/>
      <c r="W24" s="1544"/>
      <c r="X24" s="1544"/>
      <c r="Y24" s="1544"/>
      <c r="Z24" s="1544"/>
      <c r="AA24" s="1544"/>
      <c r="AB24" s="1544"/>
      <c r="AC24" s="1544"/>
      <c r="AD24" s="1544"/>
    </row>
    <row r="25" spans="2:30" s="382" customFormat="1" ht="15" customHeight="1">
      <c r="D25" s="383" t="s">
        <v>2908</v>
      </c>
      <c r="F25" s="383"/>
      <c r="G25" s="383"/>
      <c r="H25" s="383"/>
      <c r="I25" s="1544" t="str">
        <f>cst_wskakunin_owner6_NAME</f>
        <v/>
      </c>
      <c r="J25" s="1544"/>
      <c r="K25" s="1544"/>
      <c r="L25" s="1544"/>
      <c r="M25" s="1544"/>
      <c r="N25" s="1544"/>
      <c r="O25" s="1544"/>
      <c r="P25" s="1544"/>
      <c r="Q25" s="1544"/>
      <c r="R25" s="1544"/>
      <c r="S25" s="1544"/>
      <c r="T25" s="1544"/>
      <c r="U25" s="1544"/>
      <c r="V25" s="1544"/>
      <c r="W25" s="1544"/>
      <c r="X25" s="1544"/>
      <c r="Y25" s="1544"/>
      <c r="Z25" s="1544"/>
      <c r="AA25" s="1544"/>
      <c r="AB25" s="1544"/>
      <c r="AC25" s="1544"/>
      <c r="AD25" s="1544"/>
    </row>
    <row r="26" spans="2:30" s="382" customFormat="1" ht="15" customHeight="1">
      <c r="D26" s="383" t="s">
        <v>1065</v>
      </c>
      <c r="F26" s="383"/>
      <c r="G26" s="383"/>
      <c r="H26" s="383"/>
      <c r="I26" s="1544" t="str">
        <f>cst_wskakunin_owner6_ZIP</f>
        <v/>
      </c>
      <c r="J26" s="1544"/>
      <c r="K26" s="1544"/>
      <c r="L26" s="1544"/>
      <c r="M26" s="1544"/>
      <c r="N26" s="1544"/>
      <c r="O26" s="1544"/>
      <c r="P26" s="1544"/>
      <c r="Q26" s="1544"/>
      <c r="R26" s="1544"/>
      <c r="S26" s="1544"/>
      <c r="T26" s="1544"/>
      <c r="U26" s="1544"/>
      <c r="V26" s="1544"/>
      <c r="W26" s="1544"/>
      <c r="X26" s="1544"/>
      <c r="Y26" s="1544"/>
      <c r="Z26" s="1544"/>
      <c r="AA26" s="1544"/>
      <c r="AB26" s="1544"/>
      <c r="AC26" s="1544"/>
      <c r="AD26" s="1544"/>
    </row>
    <row r="27" spans="2:30" ht="15" customHeight="1">
      <c r="B27" s="384"/>
      <c r="C27" s="384"/>
      <c r="D27" s="385" t="s">
        <v>2909</v>
      </c>
      <c r="E27" s="384"/>
      <c r="F27" s="384"/>
      <c r="G27" s="384"/>
      <c r="H27" s="384"/>
      <c r="I27" s="1545" t="str">
        <f>cst_wskakunin_owner6__address</f>
        <v/>
      </c>
      <c r="J27" s="1545"/>
      <c r="K27" s="1545"/>
      <c r="L27" s="1545"/>
      <c r="M27" s="1545"/>
      <c r="N27" s="1545"/>
      <c r="O27" s="1545"/>
      <c r="P27" s="1545"/>
      <c r="Q27" s="1545"/>
      <c r="R27" s="1545"/>
      <c r="S27" s="1545"/>
      <c r="T27" s="1545"/>
      <c r="U27" s="1545"/>
      <c r="V27" s="1545"/>
      <c r="W27" s="1545"/>
      <c r="X27" s="1545"/>
      <c r="Y27" s="1545"/>
      <c r="Z27" s="1545"/>
      <c r="AA27" s="1545"/>
      <c r="AB27" s="1545"/>
      <c r="AC27" s="1545"/>
      <c r="AD27" s="1545"/>
    </row>
    <row r="28" spans="2:30" ht="15" customHeight="1">
      <c r="C28" s="378" t="s">
        <v>3833</v>
      </c>
    </row>
    <row r="29" spans="2:30" s="382" customFormat="1" ht="15" customHeight="1">
      <c r="D29" s="383" t="s">
        <v>2907</v>
      </c>
      <c r="F29" s="383"/>
      <c r="G29" s="383"/>
      <c r="H29" s="383"/>
      <c r="I29" s="1544" t="str">
        <f>cst_wskakunin_owner7_NAME_KANA</f>
        <v/>
      </c>
      <c r="J29" s="1544"/>
      <c r="K29" s="1544"/>
      <c r="L29" s="1544"/>
      <c r="M29" s="1544"/>
      <c r="N29" s="1544"/>
      <c r="O29" s="1544"/>
      <c r="P29" s="1544"/>
      <c r="Q29" s="1544"/>
      <c r="R29" s="1544"/>
      <c r="S29" s="1544"/>
      <c r="T29" s="1544"/>
      <c r="U29" s="1544"/>
      <c r="V29" s="1544"/>
      <c r="W29" s="1544"/>
      <c r="X29" s="1544"/>
      <c r="Y29" s="1544"/>
      <c r="Z29" s="1544"/>
      <c r="AA29" s="1544"/>
      <c r="AB29" s="1544"/>
      <c r="AC29" s="1544"/>
      <c r="AD29" s="1544"/>
    </row>
    <row r="30" spans="2:30" s="382" customFormat="1" ht="15" customHeight="1">
      <c r="D30" s="383" t="s">
        <v>2908</v>
      </c>
      <c r="F30" s="383"/>
      <c r="G30" s="383"/>
      <c r="H30" s="383"/>
      <c r="I30" s="1544" t="str">
        <f>cst_wskakunin_owner7_NAME</f>
        <v/>
      </c>
      <c r="J30" s="1544"/>
      <c r="K30" s="1544"/>
      <c r="L30" s="1544"/>
      <c r="M30" s="1544"/>
      <c r="N30" s="1544"/>
      <c r="O30" s="1544"/>
      <c r="P30" s="1544"/>
      <c r="Q30" s="1544"/>
      <c r="R30" s="1544"/>
      <c r="S30" s="1544"/>
      <c r="T30" s="1544"/>
      <c r="U30" s="1544"/>
      <c r="V30" s="1544"/>
      <c r="W30" s="1544"/>
      <c r="X30" s="1544"/>
      <c r="Y30" s="1544"/>
      <c r="Z30" s="1544"/>
      <c r="AA30" s="1544"/>
      <c r="AB30" s="1544"/>
      <c r="AC30" s="1544"/>
      <c r="AD30" s="1544"/>
    </row>
    <row r="31" spans="2:30" s="382" customFormat="1" ht="15" customHeight="1">
      <c r="D31" s="383" t="s">
        <v>1065</v>
      </c>
      <c r="F31" s="383"/>
      <c r="G31" s="383"/>
      <c r="H31" s="383"/>
      <c r="I31" s="1544" t="str">
        <f>cst_wskakunin_owner7_ZIP</f>
        <v/>
      </c>
      <c r="J31" s="1544"/>
      <c r="K31" s="1544"/>
      <c r="L31" s="1544"/>
      <c r="M31" s="1544"/>
      <c r="N31" s="1544"/>
      <c r="O31" s="1544"/>
      <c r="P31" s="1544"/>
      <c r="Q31" s="1544"/>
      <c r="R31" s="1544"/>
      <c r="S31" s="1544"/>
      <c r="T31" s="1544"/>
      <c r="U31" s="1544"/>
      <c r="V31" s="1544"/>
      <c r="W31" s="1544"/>
      <c r="X31" s="1544"/>
      <c r="Y31" s="1544"/>
      <c r="Z31" s="1544"/>
      <c r="AA31" s="1544"/>
      <c r="AB31" s="1544"/>
      <c r="AC31" s="1544"/>
      <c r="AD31" s="1544"/>
    </row>
    <row r="32" spans="2:30" ht="15" customHeight="1">
      <c r="B32" s="384"/>
      <c r="C32" s="384"/>
      <c r="D32" s="385" t="s">
        <v>2909</v>
      </c>
      <c r="E32" s="384"/>
      <c r="F32" s="384"/>
      <c r="G32" s="384"/>
      <c r="H32" s="384"/>
      <c r="I32" s="1545" t="str">
        <f>cst_wskakunin_owner7__address</f>
        <v/>
      </c>
      <c r="J32" s="1545"/>
      <c r="K32" s="1545"/>
      <c r="L32" s="1545"/>
      <c r="M32" s="1545"/>
      <c r="N32" s="1545"/>
      <c r="O32" s="1545"/>
      <c r="P32" s="1545"/>
      <c r="Q32" s="1545"/>
      <c r="R32" s="1545"/>
      <c r="S32" s="1545"/>
      <c r="T32" s="1545"/>
      <c r="U32" s="1545"/>
      <c r="V32" s="1545"/>
      <c r="W32" s="1545"/>
      <c r="X32" s="1545"/>
      <c r="Y32" s="1545"/>
      <c r="Z32" s="1545"/>
      <c r="AA32" s="1545"/>
      <c r="AB32" s="1545"/>
      <c r="AC32" s="1545"/>
      <c r="AD32" s="1545"/>
    </row>
    <row r="33" spans="2:30" ht="15" customHeight="1">
      <c r="C33" s="378" t="s">
        <v>3834</v>
      </c>
    </row>
    <row r="34" spans="2:30" s="382" customFormat="1" ht="15" customHeight="1">
      <c r="D34" s="383" t="s">
        <v>2907</v>
      </c>
      <c r="F34" s="383"/>
      <c r="G34" s="383"/>
      <c r="H34" s="383"/>
      <c r="I34" s="1544" t="str">
        <f>cst_wskakunin_owner8_NAME_KANA</f>
        <v/>
      </c>
      <c r="J34" s="1544"/>
      <c r="K34" s="1544"/>
      <c r="L34" s="1544"/>
      <c r="M34" s="1544"/>
      <c r="N34" s="1544"/>
      <c r="O34" s="1544"/>
      <c r="P34" s="1544"/>
      <c r="Q34" s="1544"/>
      <c r="R34" s="1544"/>
      <c r="S34" s="1544"/>
      <c r="T34" s="1544"/>
      <c r="U34" s="1544"/>
      <c r="V34" s="1544"/>
      <c r="W34" s="1544"/>
      <c r="X34" s="1544"/>
      <c r="Y34" s="1544"/>
      <c r="Z34" s="1544"/>
      <c r="AA34" s="1544"/>
      <c r="AB34" s="1544"/>
      <c r="AC34" s="1544"/>
      <c r="AD34" s="1544"/>
    </row>
    <row r="35" spans="2:30" s="382" customFormat="1" ht="15" customHeight="1">
      <c r="D35" s="383" t="s">
        <v>2908</v>
      </c>
      <c r="F35" s="383"/>
      <c r="G35" s="383"/>
      <c r="H35" s="383"/>
      <c r="I35" s="1544" t="str">
        <f>cst_wskakunin_owner8_NAME</f>
        <v/>
      </c>
      <c r="J35" s="1544"/>
      <c r="K35" s="1544"/>
      <c r="L35" s="1544"/>
      <c r="M35" s="1544"/>
      <c r="N35" s="1544"/>
      <c r="O35" s="1544"/>
      <c r="P35" s="1544"/>
      <c r="Q35" s="1544"/>
      <c r="R35" s="1544"/>
      <c r="S35" s="1544"/>
      <c r="T35" s="1544"/>
      <c r="U35" s="1544"/>
      <c r="V35" s="1544"/>
      <c r="W35" s="1544"/>
      <c r="X35" s="1544"/>
      <c r="Y35" s="1544"/>
      <c r="Z35" s="1544"/>
      <c r="AA35" s="1544"/>
      <c r="AB35" s="1544"/>
      <c r="AC35" s="1544"/>
      <c r="AD35" s="1544"/>
    </row>
    <row r="36" spans="2:30" s="382" customFormat="1" ht="15" customHeight="1">
      <c r="D36" s="383" t="s">
        <v>1065</v>
      </c>
      <c r="F36" s="383"/>
      <c r="G36" s="383"/>
      <c r="H36" s="383"/>
      <c r="I36" s="1544" t="str">
        <f>cst_wskakunin_owner8_ZIP</f>
        <v/>
      </c>
      <c r="J36" s="1544"/>
      <c r="K36" s="1544"/>
      <c r="L36" s="1544"/>
      <c r="M36" s="1544"/>
      <c r="N36" s="1544"/>
      <c r="O36" s="1544"/>
      <c r="P36" s="1544"/>
      <c r="Q36" s="1544"/>
      <c r="R36" s="1544"/>
      <c r="S36" s="1544"/>
      <c r="T36" s="1544"/>
      <c r="U36" s="1544"/>
      <c r="V36" s="1544"/>
      <c r="W36" s="1544"/>
      <c r="X36" s="1544"/>
      <c r="Y36" s="1544"/>
      <c r="Z36" s="1544"/>
      <c r="AA36" s="1544"/>
      <c r="AB36" s="1544"/>
      <c r="AC36" s="1544"/>
      <c r="AD36" s="1544"/>
    </row>
    <row r="37" spans="2:30" ht="15" customHeight="1">
      <c r="B37" s="384"/>
      <c r="C37" s="384"/>
      <c r="D37" s="385" t="s">
        <v>2909</v>
      </c>
      <c r="E37" s="384"/>
      <c r="F37" s="384"/>
      <c r="G37" s="384"/>
      <c r="H37" s="384"/>
      <c r="I37" s="1545" t="str">
        <f>cst_wskakunin_owner8__address</f>
        <v/>
      </c>
      <c r="J37" s="1545"/>
      <c r="K37" s="1545"/>
      <c r="L37" s="1545"/>
      <c r="M37" s="1545"/>
      <c r="N37" s="1545"/>
      <c r="O37" s="1545"/>
      <c r="P37" s="1545"/>
      <c r="Q37" s="1545"/>
      <c r="R37" s="1545"/>
      <c r="S37" s="1545"/>
      <c r="T37" s="1545"/>
      <c r="U37" s="1545"/>
      <c r="V37" s="1545"/>
      <c r="W37" s="1545"/>
      <c r="X37" s="1545"/>
      <c r="Y37" s="1545"/>
      <c r="Z37" s="1545"/>
      <c r="AA37" s="1545"/>
      <c r="AB37" s="1545"/>
      <c r="AC37" s="1545"/>
      <c r="AD37" s="1545"/>
    </row>
    <row r="38" spans="2:30" ht="15" customHeight="1">
      <c r="C38" s="378" t="s">
        <v>3835</v>
      </c>
    </row>
    <row r="39" spans="2:30" s="382" customFormat="1" ht="15" customHeight="1">
      <c r="D39" s="383" t="s">
        <v>2907</v>
      </c>
      <c r="F39" s="383"/>
      <c r="G39" s="383"/>
      <c r="H39" s="383"/>
      <c r="I39" s="1544" t="str">
        <f>cst_wskakunin_owner9_NAME_KANA</f>
        <v/>
      </c>
      <c r="J39" s="1544"/>
      <c r="K39" s="1544"/>
      <c r="L39" s="1544"/>
      <c r="M39" s="1544"/>
      <c r="N39" s="1544"/>
      <c r="O39" s="1544"/>
      <c r="P39" s="1544"/>
      <c r="Q39" s="1544"/>
      <c r="R39" s="1544"/>
      <c r="S39" s="1544"/>
      <c r="T39" s="1544"/>
      <c r="U39" s="1544"/>
      <c r="V39" s="1544"/>
      <c r="W39" s="1544"/>
      <c r="X39" s="1544"/>
      <c r="Y39" s="1544"/>
      <c r="Z39" s="1544"/>
      <c r="AA39" s="1544"/>
      <c r="AB39" s="1544"/>
      <c r="AC39" s="1544"/>
      <c r="AD39" s="1544"/>
    </row>
    <row r="40" spans="2:30" s="382" customFormat="1" ht="15" customHeight="1">
      <c r="D40" s="383" t="s">
        <v>2908</v>
      </c>
      <c r="F40" s="383"/>
      <c r="G40" s="383"/>
      <c r="H40" s="383"/>
      <c r="I40" s="1544" t="str">
        <f>cst_wskakunin_owner9_NAME</f>
        <v/>
      </c>
      <c r="J40" s="1544"/>
      <c r="K40" s="1544"/>
      <c r="L40" s="1544"/>
      <c r="M40" s="1544"/>
      <c r="N40" s="1544"/>
      <c r="O40" s="1544"/>
      <c r="P40" s="1544"/>
      <c r="Q40" s="1544"/>
      <c r="R40" s="1544"/>
      <c r="S40" s="1544"/>
      <c r="T40" s="1544"/>
      <c r="U40" s="1544"/>
      <c r="V40" s="1544"/>
      <c r="W40" s="1544"/>
      <c r="X40" s="1544"/>
      <c r="Y40" s="1544"/>
      <c r="Z40" s="1544"/>
      <c r="AA40" s="1544"/>
      <c r="AB40" s="1544"/>
      <c r="AC40" s="1544"/>
      <c r="AD40" s="1544"/>
    </row>
    <row r="41" spans="2:30" s="382" customFormat="1" ht="15" customHeight="1">
      <c r="D41" s="383" t="s">
        <v>1065</v>
      </c>
      <c r="F41" s="383"/>
      <c r="G41" s="383"/>
      <c r="H41" s="383"/>
      <c r="I41" s="1544" t="str">
        <f>cst_wskakunin_owner9_ZIP</f>
        <v/>
      </c>
      <c r="J41" s="1544"/>
      <c r="K41" s="1544"/>
      <c r="L41" s="1544"/>
      <c r="M41" s="1544"/>
      <c r="N41" s="1544"/>
      <c r="O41" s="1544"/>
      <c r="P41" s="1544"/>
      <c r="Q41" s="1544"/>
      <c r="R41" s="1544"/>
      <c r="S41" s="1544"/>
      <c r="T41" s="1544"/>
      <c r="U41" s="1544"/>
      <c r="V41" s="1544"/>
      <c r="W41" s="1544"/>
      <c r="X41" s="1544"/>
      <c r="Y41" s="1544"/>
      <c r="Z41" s="1544"/>
      <c r="AA41" s="1544"/>
      <c r="AB41" s="1544"/>
      <c r="AC41" s="1544"/>
      <c r="AD41" s="1544"/>
    </row>
    <row r="42" spans="2:30" ht="15" customHeight="1">
      <c r="B42" s="384"/>
      <c r="C42" s="384"/>
      <c r="D42" s="385" t="s">
        <v>2909</v>
      </c>
      <c r="E42" s="384"/>
      <c r="F42" s="384"/>
      <c r="G42" s="384"/>
      <c r="H42" s="384"/>
      <c r="I42" s="1545" t="str">
        <f>cst_wskakunin_owner9__address</f>
        <v/>
      </c>
      <c r="J42" s="1545"/>
      <c r="K42" s="1545"/>
      <c r="L42" s="1545"/>
      <c r="M42" s="1545"/>
      <c r="N42" s="1545"/>
      <c r="O42" s="1545"/>
      <c r="P42" s="1545"/>
      <c r="Q42" s="1545"/>
      <c r="R42" s="1545"/>
      <c r="S42" s="1545"/>
      <c r="T42" s="1545"/>
      <c r="U42" s="1545"/>
      <c r="V42" s="1545"/>
      <c r="W42" s="1545"/>
      <c r="X42" s="1545"/>
      <c r="Y42" s="1545"/>
      <c r="Z42" s="1545"/>
      <c r="AA42" s="1545"/>
      <c r="AB42" s="1545"/>
      <c r="AC42" s="1545"/>
      <c r="AD42" s="1545"/>
    </row>
  </sheetData>
  <mergeCells count="32">
    <mergeCell ref="I37:AD37"/>
    <mergeCell ref="I41:AD41"/>
    <mergeCell ref="I42:AD42"/>
    <mergeCell ref="I21:AD21"/>
    <mergeCell ref="I22:AD22"/>
    <mergeCell ref="I26:AD26"/>
    <mergeCell ref="I27:AD27"/>
    <mergeCell ref="I31:AD31"/>
    <mergeCell ref="I30:AD30"/>
    <mergeCell ref="I34:AD34"/>
    <mergeCell ref="I35:AD35"/>
    <mergeCell ref="I39:AD39"/>
    <mergeCell ref="I40:AD40"/>
    <mergeCell ref="I32:AD32"/>
    <mergeCell ref="I36:AD36"/>
    <mergeCell ref="I29:AD29"/>
    <mergeCell ref="I19:AD19"/>
    <mergeCell ref="I20:AD20"/>
    <mergeCell ref="I24:AD24"/>
    <mergeCell ref="I25:AD25"/>
    <mergeCell ref="I16:AD16"/>
    <mergeCell ref="I17:AD17"/>
    <mergeCell ref="I15:AD15"/>
    <mergeCell ref="I4:AD4"/>
    <mergeCell ref="I5:AD5"/>
    <mergeCell ref="I9:AD9"/>
    <mergeCell ref="I10:AD10"/>
    <mergeCell ref="I14:AD14"/>
    <mergeCell ref="I7:AD7"/>
    <mergeCell ref="I6:AD6"/>
    <mergeCell ref="I11:AD11"/>
    <mergeCell ref="I12:AD12"/>
  </mergeCells>
  <phoneticPr fontId="116"/>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oddFooter>&amp;C&amp;P / &amp;N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D41"/>
  <sheetViews>
    <sheetView zoomScaleNormal="100" zoomScaleSheetLayoutView="100" workbookViewId="0"/>
  </sheetViews>
  <sheetFormatPr defaultColWidth="9" defaultRowHeight="13.5"/>
  <cols>
    <col min="1" max="2" width="1.875" style="516" customWidth="1"/>
    <col min="3" max="27" width="3.125" style="516" customWidth="1"/>
    <col min="28" max="29" width="1.875" style="516" customWidth="1"/>
    <col min="30" max="36" width="3.125" style="516" customWidth="1"/>
    <col min="37" max="37" width="9" style="516" customWidth="1"/>
    <col min="38" max="16384" width="9" style="516"/>
  </cols>
  <sheetData>
    <row r="1" spans="1:30" ht="20.100000000000001" customHeight="1">
      <c r="A1" s="516" t="s">
        <v>3836</v>
      </c>
    </row>
    <row r="2" spans="1:30" ht="20.100000000000001" customHeight="1">
      <c r="A2" s="517"/>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9"/>
    </row>
    <row r="3" spans="1:30" ht="20.100000000000001" customHeight="1">
      <c r="A3" s="1606" t="s">
        <v>3837</v>
      </c>
      <c r="B3" s="1607"/>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9"/>
      <c r="AD3" s="518"/>
    </row>
    <row r="4" spans="1:30" ht="20.100000000000001" customHeight="1">
      <c r="A4" s="519"/>
      <c r="B4" s="520"/>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21"/>
      <c r="AD4" s="518"/>
    </row>
    <row r="5" spans="1:30" ht="20.100000000000001" customHeight="1">
      <c r="A5" s="522"/>
      <c r="T5" s="1605" t="s">
        <v>3462</v>
      </c>
      <c r="U5" s="1610"/>
      <c r="V5" s="1610"/>
      <c r="W5" s="1610"/>
      <c r="X5" s="1610"/>
      <c r="Y5" s="1610"/>
      <c r="Z5" s="1610"/>
      <c r="AA5" s="1610"/>
      <c r="AB5" s="1610"/>
      <c r="AC5" s="1611"/>
      <c r="AD5" s="523"/>
    </row>
    <row r="6" spans="1:30" ht="20.100000000000001" customHeight="1">
      <c r="A6" s="522"/>
      <c r="B6" s="516" t="s">
        <v>206</v>
      </c>
      <c r="AC6" s="524"/>
    </row>
    <row r="7" spans="1:30" ht="20.100000000000001" customHeight="1">
      <c r="A7" s="522"/>
      <c r="B7" s="516" t="s">
        <v>3838</v>
      </c>
      <c r="AC7" s="524"/>
    </row>
    <row r="8" spans="1:30" ht="20.100000000000001" customHeight="1">
      <c r="A8" s="522"/>
      <c r="AC8" s="524"/>
    </row>
    <row r="9" spans="1:30" ht="20.100000000000001" customHeight="1">
      <c r="A9" s="522"/>
      <c r="N9" s="516" t="s">
        <v>3839</v>
      </c>
      <c r="Q9" s="516" t="s">
        <v>261</v>
      </c>
      <c r="S9" s="1612"/>
      <c r="T9" s="1562"/>
      <c r="U9" s="1562"/>
      <c r="V9" s="1562"/>
      <c r="W9" s="1562"/>
      <c r="X9" s="1562"/>
      <c r="Y9" s="1562"/>
      <c r="Z9" s="1562"/>
      <c r="AA9" s="1562"/>
      <c r="AC9" s="524"/>
    </row>
    <row r="10" spans="1:30" ht="20.100000000000001" customHeight="1">
      <c r="A10" s="522"/>
      <c r="S10" s="1562"/>
      <c r="T10" s="1562"/>
      <c r="U10" s="1562"/>
      <c r="V10" s="1562"/>
      <c r="W10" s="1562"/>
      <c r="X10" s="1562"/>
      <c r="Y10" s="1562"/>
      <c r="Z10" s="1562"/>
      <c r="AA10" s="1562"/>
      <c r="AC10" s="524"/>
    </row>
    <row r="11" spans="1:30" ht="20.100000000000001" customHeight="1">
      <c r="A11" s="522"/>
      <c r="S11" s="514"/>
      <c r="T11" s="514"/>
      <c r="U11" s="514"/>
      <c r="V11" s="514"/>
      <c r="W11" s="514"/>
      <c r="X11" s="514"/>
      <c r="Y11" s="514"/>
      <c r="Z11" s="514"/>
      <c r="AA11" s="514"/>
      <c r="AC11" s="524"/>
    </row>
    <row r="12" spans="1:30" ht="20.100000000000001" customHeight="1">
      <c r="A12" s="522"/>
      <c r="Q12" s="516" t="s">
        <v>247</v>
      </c>
      <c r="S12" s="1612"/>
      <c r="T12" s="1562"/>
      <c r="U12" s="1562"/>
      <c r="V12" s="1562"/>
      <c r="W12" s="1562"/>
      <c r="X12" s="1562"/>
      <c r="Y12" s="1562"/>
      <c r="Z12" s="1562"/>
      <c r="AA12" s="1562"/>
      <c r="AB12" s="1556"/>
      <c r="AC12" s="1552"/>
    </row>
    <row r="13" spans="1:30" ht="20.100000000000001" customHeight="1">
      <c r="A13" s="522"/>
      <c r="AC13" s="524"/>
    </row>
    <row r="14" spans="1:30" ht="20.100000000000001" customHeight="1">
      <c r="A14" s="525"/>
      <c r="B14" s="526"/>
      <c r="C14" s="1605" t="s">
        <v>3462</v>
      </c>
      <c r="D14" s="1605"/>
      <c r="E14" s="1605"/>
      <c r="F14" s="1605"/>
      <c r="G14" s="1605"/>
      <c r="H14" s="1605"/>
      <c r="I14" s="1605"/>
      <c r="J14" s="1605"/>
      <c r="K14" s="1605"/>
      <c r="L14" s="516" t="s">
        <v>3840</v>
      </c>
      <c r="AC14" s="524"/>
    </row>
    <row r="15" spans="1:30" ht="20.100000000000001" customHeight="1">
      <c r="A15" s="522"/>
      <c r="C15" s="516" t="s">
        <v>3841</v>
      </c>
      <c r="AC15" s="524"/>
    </row>
    <row r="16" spans="1:30" ht="20.100000000000001" customHeight="1">
      <c r="A16" s="522"/>
      <c r="AC16" s="524"/>
    </row>
    <row r="17" spans="1:29" ht="20.100000000000001" customHeight="1">
      <c r="A17" s="1576" t="s">
        <v>3842</v>
      </c>
      <c r="B17" s="1577"/>
      <c r="C17" s="1578"/>
      <c r="D17" s="1578"/>
      <c r="E17" s="1578"/>
      <c r="F17" s="1579"/>
      <c r="G17" s="1583" t="s">
        <v>3843</v>
      </c>
      <c r="H17" s="1584"/>
      <c r="I17" s="1584"/>
      <c r="J17" s="1584"/>
      <c r="K17" s="1584"/>
      <c r="L17" s="1584"/>
      <c r="M17" s="1584"/>
      <c r="N17" s="1584"/>
      <c r="O17" s="1584"/>
      <c r="P17" s="1584"/>
      <c r="Q17" s="768"/>
      <c r="R17" s="768"/>
      <c r="S17" s="768"/>
      <c r="T17" s="768"/>
      <c r="U17" s="768"/>
      <c r="V17" s="768"/>
      <c r="W17" s="768"/>
      <c r="X17" s="768"/>
      <c r="Y17" s="768"/>
      <c r="Z17" s="768"/>
      <c r="AA17" s="768"/>
      <c r="AB17" s="768"/>
      <c r="AC17" s="769"/>
    </row>
    <row r="18" spans="1:29" ht="20.100000000000001" customHeight="1">
      <c r="A18" s="1580"/>
      <c r="B18" s="1581"/>
      <c r="C18" s="1581"/>
      <c r="D18" s="1581"/>
      <c r="E18" s="1581"/>
      <c r="F18" s="1582"/>
      <c r="G18" s="1585"/>
      <c r="H18" s="1586"/>
      <c r="I18" s="1586"/>
      <c r="J18" s="1586"/>
      <c r="K18" s="1586"/>
      <c r="L18" s="1586"/>
      <c r="M18" s="1586"/>
      <c r="N18" s="1586"/>
      <c r="O18" s="1586"/>
      <c r="P18" s="1586"/>
      <c r="Q18" s="527"/>
      <c r="R18" s="527"/>
      <c r="S18" s="527"/>
      <c r="T18" s="527"/>
      <c r="U18" s="527"/>
      <c r="V18" s="527"/>
      <c r="W18" s="527"/>
      <c r="X18" s="527"/>
      <c r="Y18" s="527"/>
      <c r="Z18" s="527"/>
      <c r="AA18" s="527"/>
      <c r="AB18" s="527"/>
      <c r="AC18" s="528"/>
    </row>
    <row r="19" spans="1:29" ht="20.100000000000001" customHeight="1">
      <c r="A19" s="1587" t="s">
        <v>3844</v>
      </c>
      <c r="B19" s="1588"/>
      <c r="C19" s="1589"/>
      <c r="D19" s="1589"/>
      <c r="E19" s="1589"/>
      <c r="F19" s="1590"/>
      <c r="G19" s="1596" t="str">
        <f>cst_wskakunin_owner1__space4</f>
        <v/>
      </c>
      <c r="H19" s="1597"/>
      <c r="I19" s="1597"/>
      <c r="J19" s="1597"/>
      <c r="K19" s="1597"/>
      <c r="L19" s="1597"/>
      <c r="M19" s="1597"/>
      <c r="N19" s="1597"/>
      <c r="O19" s="1597"/>
      <c r="P19" s="1597"/>
      <c r="Q19" s="1597"/>
      <c r="R19" s="1597"/>
      <c r="S19" s="1597"/>
      <c r="T19" s="1597"/>
      <c r="U19" s="1597"/>
      <c r="V19" s="1597"/>
      <c r="W19" s="1597"/>
      <c r="X19" s="1597"/>
      <c r="Y19" s="1597"/>
      <c r="Z19" s="1597"/>
      <c r="AA19" s="1597"/>
      <c r="AB19" s="1597"/>
      <c r="AC19" s="1598"/>
    </row>
    <row r="20" spans="1:29" ht="20.100000000000001" customHeight="1">
      <c r="A20" s="1591"/>
      <c r="B20" s="1398"/>
      <c r="C20" s="1398"/>
      <c r="D20" s="1398"/>
      <c r="E20" s="1398"/>
      <c r="F20" s="1592"/>
      <c r="G20" s="1599"/>
      <c r="H20" s="1600"/>
      <c r="I20" s="1600"/>
      <c r="J20" s="1600"/>
      <c r="K20" s="1600"/>
      <c r="L20" s="1600"/>
      <c r="M20" s="1600"/>
      <c r="N20" s="1600"/>
      <c r="O20" s="1600"/>
      <c r="P20" s="1600"/>
      <c r="Q20" s="1600"/>
      <c r="R20" s="1600"/>
      <c r="S20" s="1600"/>
      <c r="T20" s="1600"/>
      <c r="U20" s="1600"/>
      <c r="V20" s="1600"/>
      <c r="W20" s="1600"/>
      <c r="X20" s="1600"/>
      <c r="Y20" s="1600"/>
      <c r="Z20" s="1600"/>
      <c r="AA20" s="1600"/>
      <c r="AB20" s="1600"/>
      <c r="AC20" s="1601"/>
    </row>
    <row r="21" spans="1:29" ht="20.100000000000001" customHeight="1">
      <c r="A21" s="1591"/>
      <c r="B21" s="1398"/>
      <c r="C21" s="1398"/>
      <c r="D21" s="1398"/>
      <c r="E21" s="1398"/>
      <c r="F21" s="1592"/>
      <c r="G21" s="1599"/>
      <c r="H21" s="1600"/>
      <c r="I21" s="1600"/>
      <c r="J21" s="1600"/>
      <c r="K21" s="1600"/>
      <c r="L21" s="1600"/>
      <c r="M21" s="1600"/>
      <c r="N21" s="1600"/>
      <c r="O21" s="1600"/>
      <c r="P21" s="1600"/>
      <c r="Q21" s="1600"/>
      <c r="R21" s="1600"/>
      <c r="S21" s="1600"/>
      <c r="T21" s="1600"/>
      <c r="U21" s="1600"/>
      <c r="V21" s="1600"/>
      <c r="W21" s="1600"/>
      <c r="X21" s="1600"/>
      <c r="Y21" s="1600"/>
      <c r="Z21" s="1600"/>
      <c r="AA21" s="1600"/>
      <c r="AB21" s="1600"/>
      <c r="AC21" s="1601"/>
    </row>
    <row r="22" spans="1:29" ht="20.100000000000001" customHeight="1">
      <c r="A22" s="1593"/>
      <c r="B22" s="1594"/>
      <c r="C22" s="1594"/>
      <c r="D22" s="1594"/>
      <c r="E22" s="1594"/>
      <c r="F22" s="1595"/>
      <c r="G22" s="1602"/>
      <c r="H22" s="1603"/>
      <c r="I22" s="1603"/>
      <c r="J22" s="1603"/>
      <c r="K22" s="1603"/>
      <c r="L22" s="1603"/>
      <c r="M22" s="1603"/>
      <c r="N22" s="1603"/>
      <c r="O22" s="1603"/>
      <c r="P22" s="1603"/>
      <c r="Q22" s="1603"/>
      <c r="R22" s="1603"/>
      <c r="S22" s="1603"/>
      <c r="T22" s="1603"/>
      <c r="U22" s="1603"/>
      <c r="V22" s="1603"/>
      <c r="W22" s="1603"/>
      <c r="X22" s="1603"/>
      <c r="Y22" s="1603"/>
      <c r="Z22" s="1603"/>
      <c r="AA22" s="1603"/>
      <c r="AB22" s="1603"/>
      <c r="AC22" s="1604"/>
    </row>
    <row r="23" spans="1:29" ht="20.100000000000001" customHeight="1">
      <c r="A23" s="1587" t="s">
        <v>3845</v>
      </c>
      <c r="B23" s="1588"/>
      <c r="C23" s="1589"/>
      <c r="D23" s="1589"/>
      <c r="E23" s="1589"/>
      <c r="F23" s="1590"/>
      <c r="G23" s="1596" t="str">
        <f>cst_wskakunin_BUILD__address</f>
        <v/>
      </c>
      <c r="H23" s="1597"/>
      <c r="I23" s="1597"/>
      <c r="J23" s="1597"/>
      <c r="K23" s="1597"/>
      <c r="L23" s="1597"/>
      <c r="M23" s="1597"/>
      <c r="N23" s="1597"/>
      <c r="O23" s="1597"/>
      <c r="P23" s="1597"/>
      <c r="Q23" s="1597"/>
      <c r="R23" s="1597"/>
      <c r="S23" s="1597"/>
      <c r="T23" s="1597"/>
      <c r="U23" s="1597"/>
      <c r="V23" s="1597"/>
      <c r="W23" s="1597"/>
      <c r="X23" s="1597"/>
      <c r="Y23" s="1597"/>
      <c r="Z23" s="1597"/>
      <c r="AA23" s="1597"/>
      <c r="AB23" s="1597"/>
      <c r="AC23" s="1598"/>
    </row>
    <row r="24" spans="1:29" ht="20.100000000000001" customHeight="1">
      <c r="A24" s="1591"/>
      <c r="B24" s="1398"/>
      <c r="C24" s="1398"/>
      <c r="D24" s="1398"/>
      <c r="E24" s="1398"/>
      <c r="F24" s="1592"/>
      <c r="G24" s="1599"/>
      <c r="H24" s="1600"/>
      <c r="I24" s="1600"/>
      <c r="J24" s="1600"/>
      <c r="K24" s="1600"/>
      <c r="L24" s="1600"/>
      <c r="M24" s="1600"/>
      <c r="N24" s="1600"/>
      <c r="O24" s="1600"/>
      <c r="P24" s="1600"/>
      <c r="Q24" s="1600"/>
      <c r="R24" s="1600"/>
      <c r="S24" s="1600"/>
      <c r="T24" s="1600"/>
      <c r="U24" s="1600"/>
      <c r="V24" s="1600"/>
      <c r="W24" s="1600"/>
      <c r="X24" s="1600"/>
      <c r="Y24" s="1600"/>
      <c r="Z24" s="1600"/>
      <c r="AA24" s="1600"/>
      <c r="AB24" s="1600"/>
      <c r="AC24" s="1601"/>
    </row>
    <row r="25" spans="1:29" ht="20.100000000000001" customHeight="1">
      <c r="A25" s="1591"/>
      <c r="B25" s="1398"/>
      <c r="C25" s="1398"/>
      <c r="D25" s="1398"/>
      <c r="E25" s="1398"/>
      <c r="F25" s="1592"/>
      <c r="G25" s="1599"/>
      <c r="H25" s="1600"/>
      <c r="I25" s="1600"/>
      <c r="J25" s="1600"/>
      <c r="K25" s="1600"/>
      <c r="L25" s="1600"/>
      <c r="M25" s="1600"/>
      <c r="N25" s="1600"/>
      <c r="O25" s="1600"/>
      <c r="P25" s="1600"/>
      <c r="Q25" s="1600"/>
      <c r="R25" s="1600"/>
      <c r="S25" s="1600"/>
      <c r="T25" s="1600"/>
      <c r="U25" s="1600"/>
      <c r="V25" s="1600"/>
      <c r="W25" s="1600"/>
      <c r="X25" s="1600"/>
      <c r="Y25" s="1600"/>
      <c r="Z25" s="1600"/>
      <c r="AA25" s="1600"/>
      <c r="AB25" s="1600"/>
      <c r="AC25" s="1601"/>
    </row>
    <row r="26" spans="1:29" ht="20.100000000000001" customHeight="1">
      <c r="A26" s="1593"/>
      <c r="B26" s="1594"/>
      <c r="C26" s="1594"/>
      <c r="D26" s="1594"/>
      <c r="E26" s="1594"/>
      <c r="F26" s="1595"/>
      <c r="G26" s="1602"/>
      <c r="H26" s="1603"/>
      <c r="I26" s="1603"/>
      <c r="J26" s="1603"/>
      <c r="K26" s="1603"/>
      <c r="L26" s="1603"/>
      <c r="M26" s="1603"/>
      <c r="N26" s="1603"/>
      <c r="O26" s="1603"/>
      <c r="P26" s="1603"/>
      <c r="Q26" s="1603"/>
      <c r="R26" s="1603"/>
      <c r="S26" s="1603"/>
      <c r="T26" s="1603"/>
      <c r="U26" s="1603"/>
      <c r="V26" s="1603"/>
      <c r="W26" s="1603"/>
      <c r="X26" s="1603"/>
      <c r="Y26" s="1603"/>
      <c r="Z26" s="1603"/>
      <c r="AA26" s="1603"/>
      <c r="AB26" s="1603"/>
      <c r="AC26" s="1604"/>
    </row>
    <row r="27" spans="1:29" ht="20.100000000000001" customHeight="1">
      <c r="A27" s="1547" t="s">
        <v>3846</v>
      </c>
      <c r="B27" s="1548"/>
      <c r="C27" s="1549"/>
      <c r="D27" s="1549"/>
      <c r="E27" s="1549"/>
      <c r="F27" s="1550"/>
      <c r="G27" s="1559" t="s">
        <v>3489</v>
      </c>
      <c r="H27" s="1560"/>
      <c r="I27" s="1548" t="s">
        <v>3847</v>
      </c>
      <c r="J27" s="1549"/>
      <c r="K27" s="1549"/>
      <c r="L27" s="1549"/>
      <c r="M27" s="1549"/>
      <c r="N27" s="1549"/>
      <c r="O27" s="768"/>
      <c r="P27" s="768"/>
      <c r="Q27" s="768"/>
      <c r="R27" s="768"/>
      <c r="S27" s="768"/>
      <c r="T27" s="768"/>
      <c r="U27" s="768"/>
      <c r="V27" s="768"/>
      <c r="W27" s="768"/>
      <c r="X27" s="768"/>
      <c r="Y27" s="768"/>
      <c r="Z27" s="768"/>
      <c r="AA27" s="768"/>
      <c r="AB27" s="768"/>
      <c r="AC27" s="769"/>
    </row>
    <row r="28" spans="1:29" ht="20.100000000000001" customHeight="1">
      <c r="A28" s="1551"/>
      <c r="B28" s="1402"/>
      <c r="C28" s="1402"/>
      <c r="D28" s="1402"/>
      <c r="E28" s="1402"/>
      <c r="F28" s="1552"/>
      <c r="G28" s="1561"/>
      <c r="H28" s="1562"/>
      <c r="I28" s="1562"/>
      <c r="J28" s="1562"/>
      <c r="K28" s="1562"/>
      <c r="L28" s="1562"/>
      <c r="M28" s="1562"/>
      <c r="N28" s="1562"/>
      <c r="O28" s="1562"/>
      <c r="P28" s="1562"/>
      <c r="Q28" s="1562"/>
      <c r="R28" s="1562"/>
      <c r="S28" s="1562"/>
      <c r="T28" s="1562"/>
      <c r="U28" s="1562"/>
      <c r="V28" s="1562"/>
      <c r="W28" s="1562"/>
      <c r="X28" s="1562"/>
      <c r="Y28" s="1562"/>
      <c r="Z28" s="1562"/>
      <c r="AA28" s="1562"/>
      <c r="AB28" s="1562"/>
      <c r="AC28" s="1563"/>
    </row>
    <row r="29" spans="1:29" ht="20.100000000000001" customHeight="1">
      <c r="A29" s="1551"/>
      <c r="B29" s="1402"/>
      <c r="C29" s="1402"/>
      <c r="D29" s="1402"/>
      <c r="E29" s="1402"/>
      <c r="F29" s="1552"/>
      <c r="G29" s="1564"/>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3"/>
    </row>
    <row r="30" spans="1:29" ht="20.100000000000001" customHeight="1">
      <c r="A30" s="1553"/>
      <c r="B30" s="1554"/>
      <c r="C30" s="1554"/>
      <c r="D30" s="1554"/>
      <c r="E30" s="1554"/>
      <c r="F30" s="1555"/>
      <c r="G30" s="1565"/>
      <c r="H30" s="1566"/>
      <c r="I30" s="1566"/>
      <c r="J30" s="1566"/>
      <c r="K30" s="1566"/>
      <c r="L30" s="1566"/>
      <c r="M30" s="1566"/>
      <c r="N30" s="1566"/>
      <c r="O30" s="1566"/>
      <c r="P30" s="1566"/>
      <c r="Q30" s="1566"/>
      <c r="R30" s="1566"/>
      <c r="S30" s="1566"/>
      <c r="T30" s="1566"/>
      <c r="U30" s="1566"/>
      <c r="V30" s="1566"/>
      <c r="W30" s="1566"/>
      <c r="X30" s="1566"/>
      <c r="Y30" s="1566"/>
      <c r="Z30" s="1566"/>
      <c r="AA30" s="1566"/>
      <c r="AB30" s="1566"/>
      <c r="AC30" s="1567"/>
    </row>
    <row r="31" spans="1:29" ht="20.100000000000001" customHeight="1">
      <c r="A31" s="1568" t="s">
        <v>3492</v>
      </c>
      <c r="B31" s="1569"/>
      <c r="C31" s="1570"/>
      <c r="D31" s="1570"/>
      <c r="E31" s="1570"/>
      <c r="F31" s="1570"/>
      <c r="G31" s="1570"/>
      <c r="H31" s="1570"/>
      <c r="I31" s="1570"/>
      <c r="J31" s="1571"/>
      <c r="K31" s="1572" t="s">
        <v>3494</v>
      </c>
      <c r="L31" s="1573"/>
      <c r="M31" s="1573"/>
      <c r="N31" s="1573"/>
      <c r="O31" s="1573"/>
      <c r="P31" s="1573"/>
      <c r="Q31" s="1573"/>
      <c r="R31" s="1573"/>
      <c r="S31" s="1574"/>
      <c r="T31" s="1575" t="s">
        <v>3848</v>
      </c>
      <c r="U31" s="1573"/>
      <c r="V31" s="1573"/>
      <c r="W31" s="1573"/>
      <c r="X31" s="1573"/>
      <c r="Y31" s="1573"/>
      <c r="Z31" s="1573"/>
      <c r="AA31" s="1573"/>
      <c r="AB31" s="1573"/>
      <c r="AC31" s="1574"/>
    </row>
    <row r="32" spans="1:29" ht="20.100000000000001" customHeight="1">
      <c r="A32" s="1547"/>
      <c r="B32" s="1548"/>
      <c r="C32" s="1549"/>
      <c r="D32" s="1549"/>
      <c r="E32" s="1549"/>
      <c r="F32" s="1549"/>
      <c r="G32" s="1549"/>
      <c r="H32" s="1549"/>
      <c r="I32" s="1549"/>
      <c r="J32" s="1550"/>
      <c r="K32" s="1547"/>
      <c r="L32" s="1549"/>
      <c r="M32" s="1549"/>
      <c r="N32" s="1549"/>
      <c r="O32" s="1549"/>
      <c r="P32" s="1549"/>
      <c r="Q32" s="1549"/>
      <c r="R32" s="1549"/>
      <c r="S32" s="1550"/>
      <c r="T32" s="1556"/>
      <c r="U32" s="1402"/>
      <c r="V32" s="1402"/>
      <c r="W32" s="1402"/>
      <c r="X32" s="1402"/>
      <c r="Y32" s="1402"/>
      <c r="Z32" s="1402"/>
      <c r="AA32" s="1402"/>
      <c r="AB32" s="1402"/>
      <c r="AC32" s="1552"/>
    </row>
    <row r="33" spans="1:29" ht="20.100000000000001" customHeight="1">
      <c r="A33" s="1551"/>
      <c r="B33" s="1402"/>
      <c r="C33" s="1402"/>
      <c r="D33" s="1402"/>
      <c r="E33" s="1402"/>
      <c r="F33" s="1402"/>
      <c r="G33" s="1402"/>
      <c r="H33" s="1402"/>
      <c r="I33" s="1402"/>
      <c r="J33" s="1552"/>
      <c r="K33" s="1551"/>
      <c r="L33" s="1402"/>
      <c r="M33" s="1402"/>
      <c r="N33" s="1402"/>
      <c r="O33" s="1402"/>
      <c r="P33" s="1402"/>
      <c r="Q33" s="1402"/>
      <c r="R33" s="1402"/>
      <c r="S33" s="1552"/>
      <c r="T33" s="1402"/>
      <c r="U33" s="1402"/>
      <c r="V33" s="1402"/>
      <c r="W33" s="1402"/>
      <c r="X33" s="1402"/>
      <c r="Y33" s="1402"/>
      <c r="Z33" s="1402"/>
      <c r="AA33" s="1402"/>
      <c r="AB33" s="1402"/>
      <c r="AC33" s="1552"/>
    </row>
    <row r="34" spans="1:29" ht="20.100000000000001" customHeight="1">
      <c r="A34" s="1551"/>
      <c r="B34" s="1402"/>
      <c r="C34" s="1402"/>
      <c r="D34" s="1402"/>
      <c r="E34" s="1402"/>
      <c r="F34" s="1402"/>
      <c r="G34" s="1402"/>
      <c r="H34" s="1402"/>
      <c r="I34" s="1402"/>
      <c r="J34" s="1552"/>
      <c r="K34" s="1551"/>
      <c r="L34" s="1402"/>
      <c r="M34" s="1402"/>
      <c r="N34" s="1402"/>
      <c r="O34" s="1402"/>
      <c r="P34" s="1402"/>
      <c r="Q34" s="1402"/>
      <c r="R34" s="1402"/>
      <c r="S34" s="1552"/>
      <c r="T34" s="1402"/>
      <c r="U34" s="1402"/>
      <c r="V34" s="1402"/>
      <c r="W34" s="1402"/>
      <c r="X34" s="1402"/>
      <c r="Y34" s="1402"/>
      <c r="Z34" s="1402"/>
      <c r="AA34" s="1402"/>
      <c r="AB34" s="1402"/>
      <c r="AC34" s="1552"/>
    </row>
    <row r="35" spans="1:29" ht="20.100000000000001" customHeight="1">
      <c r="A35" s="1551"/>
      <c r="B35" s="1402"/>
      <c r="C35" s="1402"/>
      <c r="D35" s="1402"/>
      <c r="E35" s="1402"/>
      <c r="F35" s="1402"/>
      <c r="G35" s="1402"/>
      <c r="H35" s="1402"/>
      <c r="I35" s="1402"/>
      <c r="J35" s="1552"/>
      <c r="K35" s="1551"/>
      <c r="L35" s="1402"/>
      <c r="M35" s="1402"/>
      <c r="N35" s="1402"/>
      <c r="O35" s="1402"/>
      <c r="P35" s="1402"/>
      <c r="Q35" s="1402"/>
      <c r="R35" s="1402"/>
      <c r="S35" s="1552"/>
      <c r="T35" s="1402"/>
      <c r="U35" s="1402"/>
      <c r="V35" s="1402"/>
      <c r="W35" s="1402"/>
      <c r="X35" s="1402"/>
      <c r="Y35" s="1402"/>
      <c r="Z35" s="1402"/>
      <c r="AA35" s="1402"/>
      <c r="AB35" s="1402"/>
      <c r="AC35" s="1552"/>
    </row>
    <row r="36" spans="1:29" ht="20.100000000000001" customHeight="1">
      <c r="A36" s="1551"/>
      <c r="B36" s="1402"/>
      <c r="C36" s="1402"/>
      <c r="D36" s="1402"/>
      <c r="E36" s="1402"/>
      <c r="F36" s="1402"/>
      <c r="G36" s="1402"/>
      <c r="H36" s="1402"/>
      <c r="I36" s="1402"/>
      <c r="J36" s="1552"/>
      <c r="K36" s="1551"/>
      <c r="L36" s="1402"/>
      <c r="M36" s="1402"/>
      <c r="N36" s="1402"/>
      <c r="O36" s="1402"/>
      <c r="P36" s="1402"/>
      <c r="Q36" s="1402"/>
      <c r="R36" s="1402"/>
      <c r="S36" s="1552"/>
      <c r="T36" s="1402"/>
      <c r="U36" s="1402"/>
      <c r="V36" s="1402"/>
      <c r="W36" s="1402"/>
      <c r="X36" s="1402"/>
      <c r="Y36" s="1402"/>
      <c r="Z36" s="1402"/>
      <c r="AA36" s="1402"/>
      <c r="AB36" s="1402"/>
      <c r="AC36" s="1552"/>
    </row>
    <row r="37" spans="1:29" ht="20.100000000000001" customHeight="1">
      <c r="A37" s="1553"/>
      <c r="B37" s="1554"/>
      <c r="C37" s="1554"/>
      <c r="D37" s="1554"/>
      <c r="E37" s="1554"/>
      <c r="F37" s="1554"/>
      <c r="G37" s="1554"/>
      <c r="H37" s="1554"/>
      <c r="I37" s="1554"/>
      <c r="J37" s="1555"/>
      <c r="K37" s="1553"/>
      <c r="L37" s="1554"/>
      <c r="M37" s="1554"/>
      <c r="N37" s="1554"/>
      <c r="O37" s="1554"/>
      <c r="P37" s="1554"/>
      <c r="Q37" s="1554"/>
      <c r="R37" s="1554"/>
      <c r="S37" s="1555"/>
      <c r="T37" s="1554"/>
      <c r="U37" s="1554"/>
      <c r="V37" s="1554"/>
      <c r="W37" s="1554"/>
      <c r="X37" s="1554"/>
      <c r="Y37" s="1554"/>
      <c r="Z37" s="1554"/>
      <c r="AA37" s="1554"/>
      <c r="AB37" s="1554"/>
      <c r="AC37" s="1555"/>
    </row>
    <row r="38" spans="1:29" ht="20.100000000000001" customHeight="1">
      <c r="A38" s="1557" t="s">
        <v>3849</v>
      </c>
      <c r="B38" s="1558"/>
      <c r="C38" s="1558"/>
      <c r="D38" s="17" t="s">
        <v>3437</v>
      </c>
    </row>
    <row r="39" spans="1:29" ht="20.100000000000001" customHeight="1">
      <c r="A39" s="17"/>
      <c r="B39" s="17"/>
      <c r="C39" s="17">
        <v>2</v>
      </c>
      <c r="D39" s="17" t="s">
        <v>3850</v>
      </c>
    </row>
    <row r="40" spans="1:29" ht="20.100000000000001" customHeight="1">
      <c r="A40" s="17"/>
      <c r="B40" s="17"/>
      <c r="C40" s="17"/>
      <c r="D40" s="17" t="s">
        <v>3851</v>
      </c>
    </row>
    <row r="41" spans="1:29">
      <c r="A41" s="1546">
        <v>3</v>
      </c>
      <c r="B41" s="845"/>
      <c r="C41" s="845"/>
      <c r="D41" s="17" t="s">
        <v>3495</v>
      </c>
    </row>
  </sheetData>
  <mergeCells count="24">
    <mergeCell ref="C14:K14"/>
    <mergeCell ref="A3:AC3"/>
    <mergeCell ref="T5:AC5"/>
    <mergeCell ref="S9:AA10"/>
    <mergeCell ref="S12:AA12"/>
    <mergeCell ref="AB12:AC12"/>
    <mergeCell ref="A17:F18"/>
    <mergeCell ref="G17:P18"/>
    <mergeCell ref="A19:F22"/>
    <mergeCell ref="G19:AC22"/>
    <mergeCell ref="A23:F26"/>
    <mergeCell ref="G23:AC26"/>
    <mergeCell ref="A27:F30"/>
    <mergeCell ref="G27:H27"/>
    <mergeCell ref="I27:N27"/>
    <mergeCell ref="G28:AC30"/>
    <mergeCell ref="A31:J31"/>
    <mergeCell ref="K31:S31"/>
    <mergeCell ref="T31:AC31"/>
    <mergeCell ref="A41:C41"/>
    <mergeCell ref="A32:J37"/>
    <mergeCell ref="K32:S37"/>
    <mergeCell ref="T32:AC37"/>
    <mergeCell ref="A38:C38"/>
  </mergeCells>
  <phoneticPr fontId="116"/>
  <dataValidations count="1">
    <dataValidation type="list" allowBlank="1" showInputMessage="1" showErrorMessage="1" sqref="G27" xr:uid="{00000000-0002-0000-2600-000000000000}">
      <formula1>"☐,☑"</formula1>
    </dataValidation>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D41"/>
  <sheetViews>
    <sheetView zoomScaleNormal="100" zoomScaleSheetLayoutView="100" workbookViewId="0"/>
  </sheetViews>
  <sheetFormatPr defaultColWidth="9" defaultRowHeight="13.5"/>
  <cols>
    <col min="1" max="2" width="1.875" style="516" customWidth="1"/>
    <col min="3" max="27" width="3.125" style="516" customWidth="1"/>
    <col min="28" max="29" width="1.875" style="516" customWidth="1"/>
    <col min="30" max="36" width="3.125" style="516" customWidth="1"/>
    <col min="37" max="37" width="9" style="516" customWidth="1"/>
    <col min="38" max="16384" width="9" style="516"/>
  </cols>
  <sheetData>
    <row r="1" spans="1:30" ht="20.100000000000001" customHeight="1">
      <c r="A1" s="516" t="s">
        <v>3852</v>
      </c>
    </row>
    <row r="2" spans="1:30" ht="20.100000000000001" customHeight="1">
      <c r="A2" s="517"/>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9"/>
    </row>
    <row r="3" spans="1:30" ht="20.100000000000001" customHeight="1">
      <c r="A3" s="1606" t="s">
        <v>3853</v>
      </c>
      <c r="B3" s="1607"/>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c r="AA3" s="1645"/>
      <c r="AB3" s="1645"/>
      <c r="AC3" s="1658"/>
      <c r="AD3" s="520"/>
    </row>
    <row r="4" spans="1:30" ht="20.100000000000001" customHeight="1">
      <c r="A4" s="529"/>
      <c r="B4" s="530"/>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2"/>
      <c r="AD4" s="530"/>
    </row>
    <row r="5" spans="1:30" ht="20.100000000000001" customHeight="1">
      <c r="A5" s="529"/>
      <c r="B5" s="1659" t="s">
        <v>3854</v>
      </c>
      <c r="C5" s="1659"/>
      <c r="D5" s="1659"/>
      <c r="E5" s="1659"/>
      <c r="F5" s="1659"/>
      <c r="G5" s="1659"/>
      <c r="H5" s="1659"/>
      <c r="I5" s="1659"/>
      <c r="J5" s="1659"/>
      <c r="K5" s="1659"/>
      <c r="L5" s="1659"/>
      <c r="M5" s="1659"/>
      <c r="N5" s="1659"/>
      <c r="O5" s="1659"/>
      <c r="P5" s="1659"/>
      <c r="Q5" s="1659"/>
      <c r="R5" s="1659"/>
      <c r="S5" s="1659"/>
      <c r="T5" s="1659"/>
      <c r="U5" s="1659"/>
      <c r="V5" s="1659"/>
      <c r="W5" s="1659"/>
      <c r="X5" s="1659"/>
      <c r="Y5" s="1659"/>
      <c r="Z5" s="1659"/>
      <c r="AA5" s="1659"/>
      <c r="AB5" s="1659"/>
      <c r="AC5" s="532"/>
      <c r="AD5" s="530"/>
    </row>
    <row r="6" spans="1:30" ht="20.100000000000001" customHeight="1">
      <c r="A6" s="522"/>
      <c r="T6" s="1605" t="s">
        <v>3462</v>
      </c>
      <c r="U6" s="1605"/>
      <c r="V6" s="1605"/>
      <c r="W6" s="1605"/>
      <c r="X6" s="1605"/>
      <c r="Y6" s="1605"/>
      <c r="Z6" s="1605"/>
      <c r="AA6" s="1605"/>
      <c r="AB6" s="1605"/>
      <c r="AC6" s="1660"/>
      <c r="AD6" s="526"/>
    </row>
    <row r="7" spans="1:30" ht="20.100000000000001" customHeight="1">
      <c r="A7" s="522"/>
      <c r="B7" s="516" t="s">
        <v>206</v>
      </c>
      <c r="AC7" s="524"/>
    </row>
    <row r="8" spans="1:30" ht="20.100000000000001" customHeight="1">
      <c r="A8" s="522"/>
      <c r="B8" s="516" t="s">
        <v>3838</v>
      </c>
      <c r="AC8" s="524"/>
    </row>
    <row r="9" spans="1:30" ht="20.100000000000001" customHeight="1">
      <c r="A9" s="522"/>
      <c r="AC9" s="524"/>
    </row>
    <row r="10" spans="1:30" ht="20.100000000000001" customHeight="1">
      <c r="A10" s="522"/>
      <c r="N10" s="516" t="s">
        <v>3839</v>
      </c>
      <c r="Q10" s="516" t="s">
        <v>261</v>
      </c>
      <c r="S10" s="1612"/>
      <c r="T10" s="1612"/>
      <c r="U10" s="1612"/>
      <c r="V10" s="1612"/>
      <c r="W10" s="1612"/>
      <c r="X10" s="1612"/>
      <c r="Y10" s="1612"/>
      <c r="Z10" s="1612"/>
      <c r="AA10" s="1612"/>
      <c r="AC10" s="524"/>
    </row>
    <row r="11" spans="1:30" ht="20.100000000000001" customHeight="1">
      <c r="A11" s="522"/>
      <c r="S11" s="1612"/>
      <c r="T11" s="1612"/>
      <c r="U11" s="1612"/>
      <c r="V11" s="1612"/>
      <c r="W11" s="1612"/>
      <c r="X11" s="1612"/>
      <c r="Y11" s="1612"/>
      <c r="Z11" s="1612"/>
      <c r="AA11" s="1612"/>
      <c r="AC11" s="524"/>
    </row>
    <row r="12" spans="1:30" ht="20.100000000000001" customHeight="1">
      <c r="A12" s="522"/>
      <c r="AC12" s="524"/>
    </row>
    <row r="13" spans="1:30" ht="20.100000000000001" customHeight="1">
      <c r="A13" s="522"/>
      <c r="Q13" s="516" t="s">
        <v>247</v>
      </c>
      <c r="S13" s="1661"/>
      <c r="T13" s="1661"/>
      <c r="U13" s="1661"/>
      <c r="V13" s="1661"/>
      <c r="W13" s="1661"/>
      <c r="X13" s="1661"/>
      <c r="Y13" s="1661"/>
      <c r="Z13" s="1661"/>
      <c r="AA13" s="1661"/>
      <c r="AB13" s="1556"/>
      <c r="AC13" s="1618"/>
    </row>
    <row r="14" spans="1:30" ht="20.100000000000001" customHeight="1">
      <c r="A14" s="522"/>
      <c r="AC14" s="524"/>
    </row>
    <row r="15" spans="1:30" ht="20.100000000000001" customHeight="1">
      <c r="A15" s="522"/>
      <c r="B15" s="1645" t="s">
        <v>3346</v>
      </c>
      <c r="C15" s="1645"/>
      <c r="D15" s="1645"/>
      <c r="E15" s="1645"/>
      <c r="F15" s="1645"/>
      <c r="G15" s="1645"/>
      <c r="H15" s="1645"/>
      <c r="I15" s="1645"/>
      <c r="J15" s="1645"/>
      <c r="K15" s="1645"/>
      <c r="L15" s="1645"/>
      <c r="M15" s="1645"/>
      <c r="N15" s="1645"/>
      <c r="O15" s="1645"/>
      <c r="P15" s="1645"/>
      <c r="Q15" s="1645"/>
      <c r="R15" s="1645"/>
      <c r="S15" s="1645"/>
      <c r="T15" s="1645"/>
      <c r="U15" s="1645"/>
      <c r="V15" s="1645"/>
      <c r="W15" s="1645"/>
      <c r="X15" s="1645"/>
      <c r="Y15" s="1645"/>
      <c r="Z15" s="1645"/>
      <c r="AA15" s="1645"/>
      <c r="AB15" s="1645"/>
      <c r="AC15" s="524"/>
    </row>
    <row r="16" spans="1:30" ht="20.100000000000001" customHeight="1">
      <c r="A16" s="522"/>
      <c r="AC16" s="524"/>
    </row>
    <row r="17" spans="1:29" ht="20.100000000000001" customHeight="1">
      <c r="A17" s="1576" t="s">
        <v>165</v>
      </c>
      <c r="B17" s="1577"/>
      <c r="C17" s="1577"/>
      <c r="D17" s="1577"/>
      <c r="E17" s="1577"/>
      <c r="F17" s="1646"/>
      <c r="G17" s="1650" t="s">
        <v>3426</v>
      </c>
      <c r="H17" s="1651"/>
      <c r="I17" s="1651"/>
      <c r="J17" s="1654"/>
      <c r="K17" s="1654"/>
      <c r="L17" s="1654"/>
      <c r="M17" s="1654"/>
      <c r="N17" s="1654"/>
      <c r="O17" s="1654"/>
      <c r="P17" s="1656" t="s">
        <v>3427</v>
      </c>
      <c r="Q17" s="1656"/>
      <c r="R17" s="1656"/>
      <c r="S17" s="1656"/>
      <c r="T17" s="1656"/>
      <c r="U17" s="1656"/>
      <c r="V17" s="1654"/>
      <c r="W17" s="1654"/>
      <c r="X17" s="1654"/>
      <c r="Y17" s="1654"/>
      <c r="Z17" s="1654"/>
      <c r="AA17" s="1654"/>
      <c r="AB17" s="1577" t="s">
        <v>2849</v>
      </c>
      <c r="AC17" s="1646"/>
    </row>
    <row r="18" spans="1:29" ht="20.100000000000001" customHeight="1">
      <c r="A18" s="1647"/>
      <c r="B18" s="1648"/>
      <c r="C18" s="1648"/>
      <c r="D18" s="1648"/>
      <c r="E18" s="1648"/>
      <c r="F18" s="1649"/>
      <c r="G18" s="1652"/>
      <c r="H18" s="1653"/>
      <c r="I18" s="1653"/>
      <c r="J18" s="1655"/>
      <c r="K18" s="1655"/>
      <c r="L18" s="1655"/>
      <c r="M18" s="1655"/>
      <c r="N18" s="1655"/>
      <c r="O18" s="1655"/>
      <c r="P18" s="1657"/>
      <c r="Q18" s="1657"/>
      <c r="R18" s="1657"/>
      <c r="S18" s="1657"/>
      <c r="T18" s="1657"/>
      <c r="U18" s="1657"/>
      <c r="V18" s="1655"/>
      <c r="W18" s="1655"/>
      <c r="X18" s="1655"/>
      <c r="Y18" s="1655"/>
      <c r="Z18" s="1655"/>
      <c r="AA18" s="1655"/>
      <c r="AB18" s="1648"/>
      <c r="AC18" s="1649"/>
    </row>
    <row r="19" spans="1:29" ht="20.100000000000001" customHeight="1">
      <c r="A19" s="1587" t="s">
        <v>3855</v>
      </c>
      <c r="B19" s="1588"/>
      <c r="C19" s="1588"/>
      <c r="D19" s="1588"/>
      <c r="E19" s="1588"/>
      <c r="F19" s="1622"/>
      <c r="G19" s="1583" t="s">
        <v>3462</v>
      </c>
      <c r="H19" s="1626"/>
      <c r="I19" s="1626"/>
      <c r="J19" s="1626"/>
      <c r="K19" s="1626"/>
      <c r="L19" s="1626"/>
      <c r="M19" s="1626"/>
      <c r="N19" s="1626"/>
      <c r="O19" s="1626"/>
      <c r="P19" s="768"/>
      <c r="Q19" s="768"/>
      <c r="R19" s="768"/>
      <c r="S19" s="768"/>
      <c r="T19" s="768"/>
      <c r="U19" s="768"/>
      <c r="V19" s="768"/>
      <c r="W19" s="768"/>
      <c r="X19" s="768"/>
      <c r="Y19" s="768"/>
      <c r="Z19" s="768"/>
      <c r="AA19" s="768"/>
      <c r="AB19" s="768"/>
      <c r="AC19" s="769"/>
    </row>
    <row r="20" spans="1:29" ht="20.100000000000001" customHeight="1">
      <c r="A20" s="1623"/>
      <c r="B20" s="1624"/>
      <c r="C20" s="1624"/>
      <c r="D20" s="1624"/>
      <c r="E20" s="1624"/>
      <c r="F20" s="1625"/>
      <c r="G20" s="1627"/>
      <c r="H20" s="1628"/>
      <c r="I20" s="1628"/>
      <c r="J20" s="1628"/>
      <c r="K20" s="1628"/>
      <c r="L20" s="1628"/>
      <c r="M20" s="1628"/>
      <c r="N20" s="1628"/>
      <c r="O20" s="1628"/>
      <c r="P20" s="527"/>
      <c r="Q20" s="527"/>
      <c r="R20" s="527"/>
      <c r="S20" s="527"/>
      <c r="T20" s="527"/>
      <c r="U20" s="527"/>
      <c r="V20" s="527"/>
      <c r="W20" s="527"/>
      <c r="X20" s="527"/>
      <c r="Y20" s="527"/>
      <c r="Z20" s="527"/>
      <c r="AA20" s="527"/>
      <c r="AB20" s="527"/>
      <c r="AC20" s="528"/>
    </row>
    <row r="21" spans="1:29" ht="20.100000000000001" customHeight="1">
      <c r="A21" s="1634" t="s">
        <v>3844</v>
      </c>
      <c r="B21" s="1635"/>
      <c r="C21" s="1635"/>
      <c r="D21" s="1635"/>
      <c r="E21" s="1635"/>
      <c r="F21" s="1636"/>
      <c r="G21" s="1596" t="str">
        <f>cst_wskakunin_owner1__space4</f>
        <v/>
      </c>
      <c r="H21" s="1637"/>
      <c r="I21" s="1637"/>
      <c r="J21" s="1637"/>
      <c r="K21" s="1637"/>
      <c r="L21" s="1637"/>
      <c r="M21" s="1637"/>
      <c r="N21" s="1637"/>
      <c r="O21" s="1637"/>
      <c r="P21" s="1637"/>
      <c r="Q21" s="1637"/>
      <c r="R21" s="1637"/>
      <c r="S21" s="1637"/>
      <c r="T21" s="1637"/>
      <c r="U21" s="1637"/>
      <c r="V21" s="1637"/>
      <c r="W21" s="1637"/>
      <c r="X21" s="1637"/>
      <c r="Y21" s="1637"/>
      <c r="Z21" s="1637"/>
      <c r="AA21" s="1637"/>
      <c r="AB21" s="1637"/>
      <c r="AC21" s="1638"/>
    </row>
    <row r="22" spans="1:29" ht="20.100000000000001" customHeight="1">
      <c r="A22" s="1623"/>
      <c r="B22" s="1624"/>
      <c r="C22" s="1624"/>
      <c r="D22" s="1624"/>
      <c r="E22" s="1624"/>
      <c r="F22" s="1625"/>
      <c r="G22" s="1639"/>
      <c r="H22" s="1640"/>
      <c r="I22" s="1640"/>
      <c r="J22" s="1640"/>
      <c r="K22" s="1640"/>
      <c r="L22" s="1640"/>
      <c r="M22" s="1640"/>
      <c r="N22" s="1640"/>
      <c r="O22" s="1640"/>
      <c r="P22" s="1640"/>
      <c r="Q22" s="1640"/>
      <c r="R22" s="1640"/>
      <c r="S22" s="1640"/>
      <c r="T22" s="1640"/>
      <c r="U22" s="1640"/>
      <c r="V22" s="1640"/>
      <c r="W22" s="1640"/>
      <c r="X22" s="1640"/>
      <c r="Y22" s="1640"/>
      <c r="Z22" s="1640"/>
      <c r="AA22" s="1640"/>
      <c r="AB22" s="1640"/>
      <c r="AC22" s="1641"/>
    </row>
    <row r="23" spans="1:29" ht="20.100000000000001" customHeight="1">
      <c r="A23" s="1587" t="s">
        <v>3845</v>
      </c>
      <c r="B23" s="1588"/>
      <c r="C23" s="1588"/>
      <c r="D23" s="1588"/>
      <c r="E23" s="1588"/>
      <c r="F23" s="1622"/>
      <c r="G23" s="1596" t="str">
        <f>cst_wskakunin_BUILD__address</f>
        <v/>
      </c>
      <c r="H23" s="1637"/>
      <c r="I23" s="1637"/>
      <c r="J23" s="1637"/>
      <c r="K23" s="1637"/>
      <c r="L23" s="1637"/>
      <c r="M23" s="1637"/>
      <c r="N23" s="1637"/>
      <c r="O23" s="1637"/>
      <c r="P23" s="1637"/>
      <c r="Q23" s="1637"/>
      <c r="R23" s="1637"/>
      <c r="S23" s="1637"/>
      <c r="T23" s="1637"/>
      <c r="U23" s="1637"/>
      <c r="V23" s="1637"/>
      <c r="W23" s="1637"/>
      <c r="X23" s="1637"/>
      <c r="Y23" s="1637"/>
      <c r="Z23" s="1637"/>
      <c r="AA23" s="1637"/>
      <c r="AB23" s="1637"/>
      <c r="AC23" s="1638"/>
    </row>
    <row r="24" spans="1:29" ht="20.100000000000001" customHeight="1">
      <c r="A24" s="1634"/>
      <c r="B24" s="1635"/>
      <c r="C24" s="1635"/>
      <c r="D24" s="1635"/>
      <c r="E24" s="1635"/>
      <c r="F24" s="1636"/>
      <c r="G24" s="1642"/>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4"/>
    </row>
    <row r="25" spans="1:29" ht="20.100000000000001" customHeight="1">
      <c r="A25" s="1623"/>
      <c r="B25" s="1624"/>
      <c r="C25" s="1624"/>
      <c r="D25" s="1624"/>
      <c r="E25" s="1624"/>
      <c r="F25" s="1625"/>
      <c r="G25" s="1639"/>
      <c r="H25" s="1640"/>
      <c r="I25" s="1640"/>
      <c r="J25" s="1640"/>
      <c r="K25" s="1640"/>
      <c r="L25" s="1640"/>
      <c r="M25" s="1640"/>
      <c r="N25" s="1640"/>
      <c r="O25" s="1640"/>
      <c r="P25" s="1640"/>
      <c r="Q25" s="1640"/>
      <c r="R25" s="1640"/>
      <c r="S25" s="1640"/>
      <c r="T25" s="1640"/>
      <c r="U25" s="1640"/>
      <c r="V25" s="1640"/>
      <c r="W25" s="1640"/>
      <c r="X25" s="1640"/>
      <c r="Y25" s="1640"/>
      <c r="Z25" s="1640"/>
      <c r="AA25" s="1640"/>
      <c r="AB25" s="1640"/>
      <c r="AC25" s="1641"/>
    </row>
    <row r="26" spans="1:29" ht="20.100000000000001" customHeight="1">
      <c r="A26" s="1587" t="s">
        <v>3856</v>
      </c>
      <c r="B26" s="1588"/>
      <c r="C26" s="1588"/>
      <c r="D26" s="1588"/>
      <c r="E26" s="1588"/>
      <c r="F26" s="1622"/>
      <c r="G26" s="1583" t="s">
        <v>3462</v>
      </c>
      <c r="H26" s="1626"/>
      <c r="I26" s="1626"/>
      <c r="J26" s="1626"/>
      <c r="K26" s="1626"/>
      <c r="L26" s="1626"/>
      <c r="M26" s="1626"/>
      <c r="N26" s="1626"/>
      <c r="O26" s="1626"/>
      <c r="P26" s="768"/>
      <c r="Q26" s="768"/>
      <c r="R26" s="768"/>
      <c r="S26" s="768"/>
      <c r="T26" s="768"/>
      <c r="U26" s="768"/>
      <c r="V26" s="768"/>
      <c r="W26" s="768"/>
      <c r="X26" s="768"/>
      <c r="Y26" s="768"/>
      <c r="Z26" s="768"/>
      <c r="AA26" s="768"/>
      <c r="AB26" s="768"/>
      <c r="AC26" s="769"/>
    </row>
    <row r="27" spans="1:29" ht="20.100000000000001" customHeight="1">
      <c r="A27" s="1623"/>
      <c r="B27" s="1624"/>
      <c r="C27" s="1624"/>
      <c r="D27" s="1624"/>
      <c r="E27" s="1624"/>
      <c r="F27" s="1625"/>
      <c r="G27" s="1627"/>
      <c r="H27" s="1628"/>
      <c r="I27" s="1628"/>
      <c r="J27" s="1628"/>
      <c r="K27" s="1628"/>
      <c r="L27" s="1628"/>
      <c r="M27" s="1628"/>
      <c r="N27" s="1628"/>
      <c r="O27" s="1628"/>
      <c r="AC27" s="524"/>
    </row>
    <row r="28" spans="1:29" ht="20.100000000000001" customHeight="1">
      <c r="A28" s="1547" t="s">
        <v>3857</v>
      </c>
      <c r="B28" s="1548"/>
      <c r="C28" s="1548"/>
      <c r="D28" s="1548"/>
      <c r="E28" s="1548"/>
      <c r="F28" s="1616"/>
      <c r="G28" s="1559" t="s">
        <v>3489</v>
      </c>
      <c r="H28" s="1629"/>
      <c r="I28" s="1548" t="s">
        <v>3847</v>
      </c>
      <c r="J28" s="1548"/>
      <c r="K28" s="1548"/>
      <c r="L28" s="1548"/>
      <c r="M28" s="1548"/>
      <c r="N28" s="1548"/>
      <c r="O28" s="768"/>
      <c r="P28" s="768"/>
      <c r="Q28" s="768"/>
      <c r="R28" s="768"/>
      <c r="S28" s="768"/>
      <c r="T28" s="768"/>
      <c r="U28" s="768"/>
      <c r="V28" s="768"/>
      <c r="W28" s="768"/>
      <c r="X28" s="768"/>
      <c r="Y28" s="768"/>
      <c r="Z28" s="768"/>
      <c r="AA28" s="768"/>
      <c r="AB28" s="768"/>
      <c r="AC28" s="769"/>
    </row>
    <row r="29" spans="1:29" ht="20.100000000000001" customHeight="1">
      <c r="A29" s="1617"/>
      <c r="B29" s="1556"/>
      <c r="C29" s="1556"/>
      <c r="D29" s="1556"/>
      <c r="E29" s="1556"/>
      <c r="F29" s="1618"/>
      <c r="G29" s="1561"/>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30"/>
    </row>
    <row r="30" spans="1:29" ht="20.100000000000001" customHeight="1">
      <c r="A30" s="1619"/>
      <c r="B30" s="1620"/>
      <c r="C30" s="1620"/>
      <c r="D30" s="1620"/>
      <c r="E30" s="1620"/>
      <c r="F30" s="1621"/>
      <c r="G30" s="1631"/>
      <c r="H30" s="1632"/>
      <c r="I30" s="1632"/>
      <c r="J30" s="1632"/>
      <c r="K30" s="1632"/>
      <c r="L30" s="1632"/>
      <c r="M30" s="1632"/>
      <c r="N30" s="1632"/>
      <c r="O30" s="1632"/>
      <c r="P30" s="1632"/>
      <c r="Q30" s="1632"/>
      <c r="R30" s="1632"/>
      <c r="S30" s="1632"/>
      <c r="T30" s="1632"/>
      <c r="U30" s="1632"/>
      <c r="V30" s="1632"/>
      <c r="W30" s="1632"/>
      <c r="X30" s="1632"/>
      <c r="Y30" s="1632"/>
      <c r="Z30" s="1632"/>
      <c r="AA30" s="1632"/>
      <c r="AB30" s="1632"/>
      <c r="AC30" s="1633"/>
    </row>
    <row r="31" spans="1:29" ht="20.100000000000001" customHeight="1">
      <c r="A31" s="1568" t="s">
        <v>3492</v>
      </c>
      <c r="B31" s="1569"/>
      <c r="C31" s="1569"/>
      <c r="D31" s="1569"/>
      <c r="E31" s="1569"/>
      <c r="F31" s="1569"/>
      <c r="G31" s="1569"/>
      <c r="H31" s="1569"/>
      <c r="I31" s="1569"/>
      <c r="J31" s="1614"/>
      <c r="K31" s="1572" t="s">
        <v>3494</v>
      </c>
      <c r="L31" s="1575"/>
      <c r="M31" s="1575"/>
      <c r="N31" s="1575"/>
      <c r="O31" s="1575"/>
      <c r="P31" s="1575"/>
      <c r="Q31" s="1575"/>
      <c r="R31" s="1575"/>
      <c r="S31" s="1615"/>
      <c r="T31" s="1575" t="s">
        <v>3848</v>
      </c>
      <c r="U31" s="1575"/>
      <c r="V31" s="1575"/>
      <c r="W31" s="1575"/>
      <c r="X31" s="1575"/>
      <c r="Y31" s="1575"/>
      <c r="Z31" s="1575"/>
      <c r="AA31" s="1575"/>
      <c r="AB31" s="1575"/>
      <c r="AC31" s="1615"/>
    </row>
    <row r="32" spans="1:29" ht="20.100000000000001" customHeight="1">
      <c r="A32" s="1547"/>
      <c r="B32" s="1548"/>
      <c r="C32" s="1548"/>
      <c r="D32" s="1548"/>
      <c r="E32" s="1548"/>
      <c r="F32" s="1548"/>
      <c r="G32" s="1548"/>
      <c r="H32" s="1548"/>
      <c r="I32" s="1548"/>
      <c r="J32" s="1616"/>
      <c r="K32" s="1547"/>
      <c r="L32" s="1548"/>
      <c r="M32" s="1548"/>
      <c r="N32" s="1548"/>
      <c r="O32" s="1548"/>
      <c r="P32" s="1548"/>
      <c r="Q32" s="1548"/>
      <c r="R32" s="1548"/>
      <c r="S32" s="1616"/>
      <c r="T32" s="1556"/>
      <c r="U32" s="1556"/>
      <c r="V32" s="1556"/>
      <c r="W32" s="1556"/>
      <c r="X32" s="1556"/>
      <c r="Y32" s="1556"/>
      <c r="Z32" s="1556"/>
      <c r="AA32" s="1556"/>
      <c r="AB32" s="1556"/>
      <c r="AC32" s="1618"/>
    </row>
    <row r="33" spans="1:29" ht="20.100000000000001" customHeight="1">
      <c r="A33" s="1617"/>
      <c r="B33" s="1556"/>
      <c r="C33" s="1556"/>
      <c r="D33" s="1556"/>
      <c r="E33" s="1556"/>
      <c r="F33" s="1556"/>
      <c r="G33" s="1556"/>
      <c r="H33" s="1556"/>
      <c r="I33" s="1556"/>
      <c r="J33" s="1618"/>
      <c r="K33" s="1617"/>
      <c r="L33" s="1556"/>
      <c r="M33" s="1556"/>
      <c r="N33" s="1556"/>
      <c r="O33" s="1556"/>
      <c r="P33" s="1556"/>
      <c r="Q33" s="1556"/>
      <c r="R33" s="1556"/>
      <c r="S33" s="1618"/>
      <c r="T33" s="1556"/>
      <c r="U33" s="1556"/>
      <c r="V33" s="1556"/>
      <c r="W33" s="1556"/>
      <c r="X33" s="1556"/>
      <c r="Y33" s="1556"/>
      <c r="Z33" s="1556"/>
      <c r="AA33" s="1556"/>
      <c r="AB33" s="1556"/>
      <c r="AC33" s="1618"/>
    </row>
    <row r="34" spans="1:29" ht="20.100000000000001" customHeight="1">
      <c r="A34" s="1617"/>
      <c r="B34" s="1556"/>
      <c r="C34" s="1556"/>
      <c r="D34" s="1556"/>
      <c r="E34" s="1556"/>
      <c r="F34" s="1556"/>
      <c r="G34" s="1556"/>
      <c r="H34" s="1556"/>
      <c r="I34" s="1556"/>
      <c r="J34" s="1618"/>
      <c r="K34" s="1617"/>
      <c r="L34" s="1556"/>
      <c r="M34" s="1556"/>
      <c r="N34" s="1556"/>
      <c r="O34" s="1556"/>
      <c r="P34" s="1556"/>
      <c r="Q34" s="1556"/>
      <c r="R34" s="1556"/>
      <c r="S34" s="1618"/>
      <c r="T34" s="1556"/>
      <c r="U34" s="1556"/>
      <c r="V34" s="1556"/>
      <c r="W34" s="1556"/>
      <c r="X34" s="1556"/>
      <c r="Y34" s="1556"/>
      <c r="Z34" s="1556"/>
      <c r="AA34" s="1556"/>
      <c r="AB34" s="1556"/>
      <c r="AC34" s="1618"/>
    </row>
    <row r="35" spans="1:29" ht="20.100000000000001" customHeight="1">
      <c r="A35" s="1617"/>
      <c r="B35" s="1556"/>
      <c r="C35" s="1556"/>
      <c r="D35" s="1556"/>
      <c r="E35" s="1556"/>
      <c r="F35" s="1556"/>
      <c r="G35" s="1556"/>
      <c r="H35" s="1556"/>
      <c r="I35" s="1556"/>
      <c r="J35" s="1618"/>
      <c r="K35" s="1617"/>
      <c r="L35" s="1556"/>
      <c r="M35" s="1556"/>
      <c r="N35" s="1556"/>
      <c r="O35" s="1556"/>
      <c r="P35" s="1556"/>
      <c r="Q35" s="1556"/>
      <c r="R35" s="1556"/>
      <c r="S35" s="1618"/>
      <c r="T35" s="1556"/>
      <c r="U35" s="1556"/>
      <c r="V35" s="1556"/>
      <c r="W35" s="1556"/>
      <c r="X35" s="1556"/>
      <c r="Y35" s="1556"/>
      <c r="Z35" s="1556"/>
      <c r="AA35" s="1556"/>
      <c r="AB35" s="1556"/>
      <c r="AC35" s="1618"/>
    </row>
    <row r="36" spans="1:29" ht="20.100000000000001" customHeight="1">
      <c r="A36" s="1617"/>
      <c r="B36" s="1556"/>
      <c r="C36" s="1556"/>
      <c r="D36" s="1556"/>
      <c r="E36" s="1556"/>
      <c r="F36" s="1556"/>
      <c r="G36" s="1556"/>
      <c r="H36" s="1556"/>
      <c r="I36" s="1556"/>
      <c r="J36" s="1618"/>
      <c r="K36" s="1617"/>
      <c r="L36" s="1556"/>
      <c r="M36" s="1556"/>
      <c r="N36" s="1556"/>
      <c r="O36" s="1556"/>
      <c r="P36" s="1556"/>
      <c r="Q36" s="1556"/>
      <c r="R36" s="1556"/>
      <c r="S36" s="1618"/>
      <c r="T36" s="1556"/>
      <c r="U36" s="1556"/>
      <c r="V36" s="1556"/>
      <c r="W36" s="1556"/>
      <c r="X36" s="1556"/>
      <c r="Y36" s="1556"/>
      <c r="Z36" s="1556"/>
      <c r="AA36" s="1556"/>
      <c r="AB36" s="1556"/>
      <c r="AC36" s="1618"/>
    </row>
    <row r="37" spans="1:29" ht="20.100000000000001" customHeight="1">
      <c r="A37" s="1619"/>
      <c r="B37" s="1620"/>
      <c r="C37" s="1620"/>
      <c r="D37" s="1620"/>
      <c r="E37" s="1620"/>
      <c r="F37" s="1620"/>
      <c r="G37" s="1620"/>
      <c r="H37" s="1620"/>
      <c r="I37" s="1620"/>
      <c r="J37" s="1621"/>
      <c r="K37" s="1619"/>
      <c r="L37" s="1620"/>
      <c r="M37" s="1620"/>
      <c r="N37" s="1620"/>
      <c r="O37" s="1620"/>
      <c r="P37" s="1620"/>
      <c r="Q37" s="1620"/>
      <c r="R37" s="1620"/>
      <c r="S37" s="1621"/>
      <c r="T37" s="1620"/>
      <c r="U37" s="1620"/>
      <c r="V37" s="1620"/>
      <c r="W37" s="1620"/>
      <c r="X37" s="1620"/>
      <c r="Y37" s="1620"/>
      <c r="Z37" s="1620"/>
      <c r="AA37" s="1620"/>
      <c r="AB37" s="1620"/>
      <c r="AC37" s="1621"/>
    </row>
    <row r="38" spans="1:29" ht="20.100000000000001" customHeight="1">
      <c r="A38" s="1557" t="s">
        <v>3849</v>
      </c>
      <c r="B38" s="1557"/>
      <c r="C38" s="1557"/>
      <c r="D38" s="17" t="s">
        <v>3437</v>
      </c>
    </row>
    <row r="39" spans="1:29" ht="20.100000000000001" customHeight="1">
      <c r="A39" s="17"/>
      <c r="B39" s="17"/>
      <c r="C39" s="17">
        <v>2</v>
      </c>
      <c r="D39" s="17" t="s">
        <v>3858</v>
      </c>
    </row>
    <row r="40" spans="1:29" ht="20.100000000000001" customHeight="1">
      <c r="A40" s="17"/>
      <c r="B40" s="17"/>
      <c r="C40" s="17"/>
      <c r="D40" s="17" t="s">
        <v>3851</v>
      </c>
    </row>
    <row r="41" spans="1:29">
      <c r="A41" s="1546">
        <v>3</v>
      </c>
      <c r="B41" s="1613"/>
      <c r="C41" s="1613"/>
      <c r="D41" s="17" t="s">
        <v>3495</v>
      </c>
    </row>
  </sheetData>
  <mergeCells count="33">
    <mergeCell ref="A3:AC3"/>
    <mergeCell ref="B5:AB5"/>
    <mergeCell ref="T6:AC6"/>
    <mergeCell ref="S10:AA11"/>
    <mergeCell ref="S13:AA13"/>
    <mergeCell ref="AB13:AC13"/>
    <mergeCell ref="B15:AB15"/>
    <mergeCell ref="A17:F18"/>
    <mergeCell ref="G17:I18"/>
    <mergeCell ref="J17:O18"/>
    <mergeCell ref="P17:U18"/>
    <mergeCell ref="V17:AA18"/>
    <mergeCell ref="AB17:AC18"/>
    <mergeCell ref="A19:F20"/>
    <mergeCell ref="G19:O20"/>
    <mergeCell ref="A21:F22"/>
    <mergeCell ref="G21:AC22"/>
    <mergeCell ref="A23:F25"/>
    <mergeCell ref="G23:AC25"/>
    <mergeCell ref="A26:F27"/>
    <mergeCell ref="G26:O27"/>
    <mergeCell ref="A28:F30"/>
    <mergeCell ref="G28:H28"/>
    <mergeCell ref="I28:N28"/>
    <mergeCell ref="G29:AC30"/>
    <mergeCell ref="A41:C41"/>
    <mergeCell ref="A38:C38"/>
    <mergeCell ref="A31:J31"/>
    <mergeCell ref="K31:S31"/>
    <mergeCell ref="T31:AC31"/>
    <mergeCell ref="A32:J37"/>
    <mergeCell ref="K32:S37"/>
    <mergeCell ref="T32:AC37"/>
  </mergeCells>
  <phoneticPr fontId="116"/>
  <dataValidations count="1">
    <dataValidation type="list" allowBlank="1" showInputMessage="1" showErrorMessage="1" sqref="G28" xr:uid="{00000000-0002-0000-2700-000000000000}">
      <formula1>"☐,☑"</formula1>
    </dataValidation>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D41"/>
  <sheetViews>
    <sheetView zoomScaleNormal="100" zoomScaleSheetLayoutView="100" workbookViewId="0"/>
  </sheetViews>
  <sheetFormatPr defaultColWidth="9" defaultRowHeight="13.5"/>
  <cols>
    <col min="1" max="2" width="1.875" style="516" customWidth="1"/>
    <col min="3" max="27" width="3.125" style="516" customWidth="1"/>
    <col min="28" max="29" width="1.875" style="516" customWidth="1"/>
    <col min="30" max="36" width="3.125" style="516" customWidth="1"/>
    <col min="37" max="37" width="9" style="516" customWidth="1"/>
    <col min="38" max="16384" width="9" style="516"/>
  </cols>
  <sheetData>
    <row r="1" spans="1:30" ht="20.100000000000001" customHeight="1">
      <c r="A1" s="516" t="s">
        <v>3859</v>
      </c>
    </row>
    <row r="2" spans="1:30" ht="20.100000000000001" customHeight="1">
      <c r="A2" s="517"/>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9"/>
    </row>
    <row r="3" spans="1:30" ht="20.100000000000001" customHeight="1">
      <c r="A3" s="1606" t="s">
        <v>3860</v>
      </c>
      <c r="B3" s="1607"/>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c r="AA3" s="1645"/>
      <c r="AB3" s="1645"/>
      <c r="AC3" s="1658"/>
      <c r="AD3" s="520"/>
    </row>
    <row r="4" spans="1:30" ht="20.100000000000001" customHeight="1">
      <c r="A4" s="519"/>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33"/>
      <c r="AD4" s="520"/>
    </row>
    <row r="5" spans="1:30" ht="20.100000000000001" customHeight="1">
      <c r="A5" s="522"/>
      <c r="T5" s="1605" t="s">
        <v>3462</v>
      </c>
      <c r="U5" s="1605"/>
      <c r="V5" s="1605"/>
      <c r="W5" s="1605"/>
      <c r="X5" s="1605"/>
      <c r="Y5" s="1605"/>
      <c r="Z5" s="1605"/>
      <c r="AA5" s="1605"/>
      <c r="AB5" s="1605"/>
      <c r="AC5" s="1660"/>
      <c r="AD5" s="526"/>
    </row>
    <row r="6" spans="1:30" ht="20.100000000000001" customHeight="1">
      <c r="A6" s="522"/>
      <c r="B6" s="516" t="s">
        <v>206</v>
      </c>
      <c r="AC6" s="524"/>
    </row>
    <row r="7" spans="1:30" ht="20.100000000000001" customHeight="1">
      <c r="A7" s="522"/>
      <c r="B7" s="516" t="s">
        <v>3838</v>
      </c>
      <c r="AC7" s="524"/>
    </row>
    <row r="8" spans="1:30" ht="20.100000000000001" customHeight="1">
      <c r="A8" s="522"/>
      <c r="AC8" s="524"/>
    </row>
    <row r="9" spans="1:30" ht="20.100000000000001" customHeight="1">
      <c r="A9" s="522"/>
      <c r="N9" s="516" t="s">
        <v>3839</v>
      </c>
      <c r="Q9" s="516" t="s">
        <v>261</v>
      </c>
      <c r="S9" s="1612"/>
      <c r="T9" s="1612"/>
      <c r="U9" s="1612"/>
      <c r="V9" s="1612"/>
      <c r="W9" s="1612"/>
      <c r="X9" s="1612"/>
      <c r="Y9" s="1612"/>
      <c r="Z9" s="1612"/>
      <c r="AA9" s="1612"/>
      <c r="AC9" s="524"/>
    </row>
    <row r="10" spans="1:30" ht="20.100000000000001" customHeight="1">
      <c r="A10" s="522"/>
      <c r="S10" s="1612"/>
      <c r="T10" s="1612"/>
      <c r="U10" s="1612"/>
      <c r="V10" s="1612"/>
      <c r="W10" s="1612"/>
      <c r="X10" s="1612"/>
      <c r="Y10" s="1612"/>
      <c r="Z10" s="1612"/>
      <c r="AA10" s="1612"/>
      <c r="AC10" s="524"/>
    </row>
    <row r="11" spans="1:30" ht="20.100000000000001" customHeight="1">
      <c r="A11" s="522"/>
      <c r="AC11" s="524"/>
    </row>
    <row r="12" spans="1:30" ht="20.100000000000001" customHeight="1">
      <c r="A12" s="522"/>
      <c r="Q12" s="516" t="s">
        <v>247</v>
      </c>
      <c r="S12" s="1612"/>
      <c r="T12" s="1612"/>
      <c r="U12" s="1612"/>
      <c r="V12" s="1612"/>
      <c r="W12" s="1612"/>
      <c r="X12" s="1612"/>
      <c r="Y12" s="1612"/>
      <c r="Z12" s="1612"/>
      <c r="AA12" s="1612"/>
      <c r="AB12" s="1556"/>
      <c r="AC12" s="1618"/>
    </row>
    <row r="13" spans="1:30" ht="20.100000000000001" customHeight="1">
      <c r="A13" s="522"/>
      <c r="AC13" s="524"/>
    </row>
    <row r="14" spans="1:30" ht="20.100000000000001" customHeight="1">
      <c r="A14" s="525"/>
      <c r="B14" s="526"/>
      <c r="C14" s="1605" t="s">
        <v>3462</v>
      </c>
      <c r="D14" s="1605"/>
      <c r="E14" s="1605"/>
      <c r="F14" s="1605"/>
      <c r="G14" s="1605"/>
      <c r="H14" s="1605"/>
      <c r="I14" s="1605"/>
      <c r="J14" s="1605"/>
      <c r="K14" s="1605"/>
      <c r="L14" s="516" t="s">
        <v>3861</v>
      </c>
      <c r="AC14" s="524"/>
    </row>
    <row r="15" spans="1:30" ht="20.100000000000001" customHeight="1">
      <c r="A15" s="522"/>
      <c r="C15" s="516" t="s">
        <v>3862</v>
      </c>
      <c r="AC15" s="524"/>
    </row>
    <row r="16" spans="1:30" ht="20.100000000000001" customHeight="1">
      <c r="A16" s="522"/>
      <c r="AC16" s="524"/>
    </row>
    <row r="17" spans="1:29" ht="20.100000000000001" customHeight="1">
      <c r="A17" s="1587" t="s">
        <v>3844</v>
      </c>
      <c r="B17" s="1588"/>
      <c r="C17" s="1588"/>
      <c r="D17" s="1588"/>
      <c r="E17" s="1588"/>
      <c r="F17" s="1622"/>
      <c r="G17" s="1596" t="str">
        <f>cst_wskakunin_owner1__space4</f>
        <v/>
      </c>
      <c r="H17" s="1637"/>
      <c r="I17" s="1637"/>
      <c r="J17" s="1637"/>
      <c r="K17" s="1637"/>
      <c r="L17" s="1637"/>
      <c r="M17" s="1637"/>
      <c r="N17" s="1637"/>
      <c r="O17" s="1637"/>
      <c r="P17" s="1637"/>
      <c r="Q17" s="1637"/>
      <c r="R17" s="1637"/>
      <c r="S17" s="1637"/>
      <c r="T17" s="1637"/>
      <c r="U17" s="1637"/>
      <c r="V17" s="1637"/>
      <c r="W17" s="1637"/>
      <c r="X17" s="1637"/>
      <c r="Y17" s="1637"/>
      <c r="Z17" s="1637"/>
      <c r="AA17" s="1637"/>
      <c r="AB17" s="1637"/>
      <c r="AC17" s="1638"/>
    </row>
    <row r="18" spans="1:29" ht="20.100000000000001" customHeight="1">
      <c r="A18" s="1623"/>
      <c r="B18" s="1624"/>
      <c r="C18" s="1624"/>
      <c r="D18" s="1624"/>
      <c r="E18" s="1624"/>
      <c r="F18" s="1625"/>
      <c r="G18" s="1639"/>
      <c r="H18" s="1640"/>
      <c r="I18" s="1640"/>
      <c r="J18" s="1640"/>
      <c r="K18" s="1640"/>
      <c r="L18" s="1640"/>
      <c r="M18" s="1640"/>
      <c r="N18" s="1640"/>
      <c r="O18" s="1640"/>
      <c r="P18" s="1640"/>
      <c r="Q18" s="1640"/>
      <c r="R18" s="1640"/>
      <c r="S18" s="1640"/>
      <c r="T18" s="1640"/>
      <c r="U18" s="1640"/>
      <c r="V18" s="1640"/>
      <c r="W18" s="1640"/>
      <c r="X18" s="1640"/>
      <c r="Y18" s="1640"/>
      <c r="Z18" s="1640"/>
      <c r="AA18" s="1640"/>
      <c r="AB18" s="1640"/>
      <c r="AC18" s="1641"/>
    </row>
    <row r="19" spans="1:29" ht="20.100000000000001" customHeight="1">
      <c r="A19" s="1576" t="s">
        <v>165</v>
      </c>
      <c r="B19" s="1577"/>
      <c r="C19" s="1577"/>
      <c r="D19" s="1577"/>
      <c r="E19" s="1577"/>
      <c r="F19" s="1646"/>
      <c r="G19" s="1650" t="s">
        <v>3426</v>
      </c>
      <c r="H19" s="1651"/>
      <c r="I19" s="1651"/>
      <c r="J19" s="1654"/>
      <c r="K19" s="1654"/>
      <c r="L19" s="1654"/>
      <c r="M19" s="1654"/>
      <c r="N19" s="1654"/>
      <c r="O19" s="1654"/>
      <c r="P19" s="1656" t="s">
        <v>3427</v>
      </c>
      <c r="Q19" s="1656"/>
      <c r="R19" s="1656"/>
      <c r="S19" s="1656"/>
      <c r="T19" s="1656"/>
      <c r="U19" s="1656"/>
      <c r="V19" s="1654"/>
      <c r="W19" s="1654"/>
      <c r="X19" s="1654"/>
      <c r="Y19" s="1654"/>
      <c r="Z19" s="1654"/>
      <c r="AA19" s="1654"/>
      <c r="AB19" s="1577" t="s">
        <v>2849</v>
      </c>
      <c r="AC19" s="1646"/>
    </row>
    <row r="20" spans="1:29" ht="20.100000000000001" customHeight="1">
      <c r="A20" s="1647"/>
      <c r="B20" s="1648"/>
      <c r="C20" s="1648"/>
      <c r="D20" s="1648"/>
      <c r="E20" s="1648"/>
      <c r="F20" s="1649"/>
      <c r="G20" s="1652"/>
      <c r="H20" s="1653"/>
      <c r="I20" s="1653"/>
      <c r="J20" s="1655"/>
      <c r="K20" s="1655"/>
      <c r="L20" s="1655"/>
      <c r="M20" s="1655"/>
      <c r="N20" s="1655"/>
      <c r="O20" s="1655"/>
      <c r="P20" s="1657"/>
      <c r="Q20" s="1657"/>
      <c r="R20" s="1657"/>
      <c r="S20" s="1657"/>
      <c r="T20" s="1657"/>
      <c r="U20" s="1657"/>
      <c r="V20" s="1655"/>
      <c r="W20" s="1655"/>
      <c r="X20" s="1655"/>
      <c r="Y20" s="1655"/>
      <c r="Z20" s="1655"/>
      <c r="AA20" s="1655"/>
      <c r="AB20" s="1648"/>
      <c r="AC20" s="1649"/>
    </row>
    <row r="21" spans="1:29" ht="20.100000000000001" customHeight="1">
      <c r="A21" s="1587" t="s">
        <v>3855</v>
      </c>
      <c r="B21" s="1588"/>
      <c r="C21" s="1588"/>
      <c r="D21" s="1588"/>
      <c r="E21" s="1588"/>
      <c r="F21" s="1622"/>
      <c r="G21" s="1583" t="s">
        <v>3462</v>
      </c>
      <c r="H21" s="1626"/>
      <c r="I21" s="1626"/>
      <c r="J21" s="1626"/>
      <c r="K21" s="1626"/>
      <c r="L21" s="1626"/>
      <c r="M21" s="1626"/>
      <c r="N21" s="1626"/>
      <c r="O21" s="1626"/>
      <c r="P21" s="768"/>
      <c r="Q21" s="768"/>
      <c r="R21" s="768"/>
      <c r="S21" s="768"/>
      <c r="T21" s="768"/>
      <c r="U21" s="768"/>
      <c r="V21" s="768"/>
      <c r="W21" s="768"/>
      <c r="X21" s="768"/>
      <c r="Y21" s="768"/>
      <c r="Z21" s="768"/>
      <c r="AA21" s="768"/>
      <c r="AB21" s="768"/>
      <c r="AC21" s="769"/>
    </row>
    <row r="22" spans="1:29" ht="20.100000000000001" customHeight="1">
      <c r="A22" s="1623"/>
      <c r="B22" s="1624"/>
      <c r="C22" s="1624"/>
      <c r="D22" s="1624"/>
      <c r="E22" s="1624"/>
      <c r="F22" s="1625"/>
      <c r="G22" s="1627"/>
      <c r="H22" s="1628"/>
      <c r="I22" s="1628"/>
      <c r="J22" s="1628"/>
      <c r="K22" s="1628"/>
      <c r="L22" s="1628"/>
      <c r="M22" s="1628"/>
      <c r="N22" s="1628"/>
      <c r="O22" s="1628"/>
      <c r="P22" s="527"/>
      <c r="Q22" s="527"/>
      <c r="R22" s="527"/>
      <c r="S22" s="527"/>
      <c r="T22" s="527"/>
      <c r="U22" s="527"/>
      <c r="V22" s="527"/>
      <c r="W22" s="527"/>
      <c r="X22" s="527"/>
      <c r="Y22" s="527"/>
      <c r="Z22" s="527"/>
      <c r="AA22" s="527"/>
      <c r="AB22" s="527"/>
      <c r="AC22" s="528"/>
    </row>
    <row r="23" spans="1:29" ht="20.100000000000001" customHeight="1">
      <c r="A23" s="1587" t="s">
        <v>3845</v>
      </c>
      <c r="B23" s="1588"/>
      <c r="C23" s="1588"/>
      <c r="D23" s="1588"/>
      <c r="E23" s="1588"/>
      <c r="F23" s="1622"/>
      <c r="G23" s="1596" t="str">
        <f>cst_wskakunin_BUILD__address</f>
        <v/>
      </c>
      <c r="H23" s="1637"/>
      <c r="I23" s="1637"/>
      <c r="J23" s="1637"/>
      <c r="K23" s="1637"/>
      <c r="L23" s="1637"/>
      <c r="M23" s="1637"/>
      <c r="N23" s="1637"/>
      <c r="O23" s="1637"/>
      <c r="P23" s="1637"/>
      <c r="Q23" s="1637"/>
      <c r="R23" s="1637"/>
      <c r="S23" s="1637"/>
      <c r="T23" s="1637"/>
      <c r="U23" s="1637"/>
      <c r="V23" s="1637"/>
      <c r="W23" s="1637"/>
      <c r="X23" s="1637"/>
      <c r="Y23" s="1637"/>
      <c r="Z23" s="1637"/>
      <c r="AA23" s="1637"/>
      <c r="AB23" s="1637"/>
      <c r="AC23" s="1638"/>
    </row>
    <row r="24" spans="1:29" ht="20.100000000000001" customHeight="1">
      <c r="A24" s="1634"/>
      <c r="B24" s="1635"/>
      <c r="C24" s="1635"/>
      <c r="D24" s="1635"/>
      <c r="E24" s="1635"/>
      <c r="F24" s="1636"/>
      <c r="G24" s="1642"/>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4"/>
    </row>
    <row r="25" spans="1:29" ht="20.100000000000001" customHeight="1">
      <c r="A25" s="1634"/>
      <c r="B25" s="1635"/>
      <c r="C25" s="1635"/>
      <c r="D25" s="1635"/>
      <c r="E25" s="1635"/>
      <c r="F25" s="1636"/>
      <c r="G25" s="1642"/>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4"/>
    </row>
    <row r="26" spans="1:29" ht="20.100000000000001" customHeight="1">
      <c r="A26" s="1623"/>
      <c r="B26" s="1624"/>
      <c r="C26" s="1624"/>
      <c r="D26" s="1624"/>
      <c r="E26" s="1624"/>
      <c r="F26" s="1625"/>
      <c r="G26" s="1639"/>
      <c r="H26" s="1640"/>
      <c r="I26" s="1640"/>
      <c r="J26" s="1640"/>
      <c r="K26" s="1640"/>
      <c r="L26" s="1640"/>
      <c r="M26" s="1640"/>
      <c r="N26" s="1640"/>
      <c r="O26" s="1640"/>
      <c r="P26" s="1640"/>
      <c r="Q26" s="1640"/>
      <c r="R26" s="1640"/>
      <c r="S26" s="1640"/>
      <c r="T26" s="1640"/>
      <c r="U26" s="1640"/>
      <c r="V26" s="1640"/>
      <c r="W26" s="1640"/>
      <c r="X26" s="1640"/>
      <c r="Y26" s="1640"/>
      <c r="Z26" s="1640"/>
      <c r="AA26" s="1640"/>
      <c r="AB26" s="1640"/>
      <c r="AC26" s="1641"/>
    </row>
    <row r="27" spans="1:29" ht="20.100000000000001" customHeight="1">
      <c r="A27" s="1547" t="s">
        <v>3846</v>
      </c>
      <c r="B27" s="1548"/>
      <c r="C27" s="1548"/>
      <c r="D27" s="1548"/>
      <c r="E27" s="1548"/>
      <c r="F27" s="1616"/>
      <c r="G27" s="1559" t="s">
        <v>3489</v>
      </c>
      <c r="H27" s="1629"/>
      <c r="I27" s="1548" t="s">
        <v>3847</v>
      </c>
      <c r="J27" s="1548"/>
      <c r="K27" s="1548"/>
      <c r="L27" s="1548"/>
      <c r="M27" s="1548"/>
      <c r="N27" s="1548"/>
      <c r="O27" s="768"/>
      <c r="P27" s="768"/>
      <c r="Q27" s="768"/>
      <c r="R27" s="768"/>
      <c r="S27" s="768"/>
      <c r="T27" s="768"/>
      <c r="U27" s="768"/>
      <c r="V27" s="768"/>
      <c r="W27" s="768"/>
      <c r="X27" s="768"/>
      <c r="Y27" s="768"/>
      <c r="Z27" s="768"/>
      <c r="AA27" s="768"/>
      <c r="AB27" s="768"/>
      <c r="AC27" s="769"/>
    </row>
    <row r="28" spans="1:29" ht="20.100000000000001" customHeight="1">
      <c r="A28" s="1617"/>
      <c r="B28" s="1556"/>
      <c r="C28" s="1556"/>
      <c r="D28" s="1556"/>
      <c r="E28" s="1556"/>
      <c r="F28" s="1618"/>
      <c r="G28" s="1561"/>
      <c r="H28" s="1612"/>
      <c r="I28" s="1612"/>
      <c r="J28" s="1612"/>
      <c r="K28" s="1612"/>
      <c r="L28" s="1612"/>
      <c r="M28" s="1612"/>
      <c r="N28" s="1612"/>
      <c r="O28" s="1612"/>
      <c r="P28" s="1612"/>
      <c r="Q28" s="1612"/>
      <c r="R28" s="1612"/>
      <c r="S28" s="1612"/>
      <c r="T28" s="1612"/>
      <c r="U28" s="1612"/>
      <c r="V28" s="1612"/>
      <c r="W28" s="1612"/>
      <c r="X28" s="1612"/>
      <c r="Y28" s="1612"/>
      <c r="Z28" s="1612"/>
      <c r="AA28" s="1612"/>
      <c r="AB28" s="1612"/>
      <c r="AC28" s="1630"/>
    </row>
    <row r="29" spans="1:29" ht="20.100000000000001" customHeight="1">
      <c r="A29" s="1617"/>
      <c r="B29" s="1556"/>
      <c r="C29" s="1556"/>
      <c r="D29" s="1556"/>
      <c r="E29" s="1556"/>
      <c r="F29" s="1618"/>
      <c r="G29" s="1561"/>
      <c r="H29" s="1612"/>
      <c r="I29" s="1612"/>
      <c r="J29" s="1612"/>
      <c r="K29" s="1612"/>
      <c r="L29" s="1612"/>
      <c r="M29" s="1612"/>
      <c r="N29" s="1612"/>
      <c r="O29" s="1612"/>
      <c r="P29" s="1612"/>
      <c r="Q29" s="1612"/>
      <c r="R29" s="1612"/>
      <c r="S29" s="1612"/>
      <c r="T29" s="1612"/>
      <c r="U29" s="1612"/>
      <c r="V29" s="1612"/>
      <c r="W29" s="1612"/>
      <c r="X29" s="1612"/>
      <c r="Y29" s="1612"/>
      <c r="Z29" s="1612"/>
      <c r="AA29" s="1612"/>
      <c r="AB29" s="1612"/>
      <c r="AC29" s="1630"/>
    </row>
    <row r="30" spans="1:29" ht="20.100000000000001" customHeight="1">
      <c r="A30" s="1619"/>
      <c r="B30" s="1620"/>
      <c r="C30" s="1620"/>
      <c r="D30" s="1620"/>
      <c r="E30" s="1620"/>
      <c r="F30" s="1621"/>
      <c r="G30" s="1631"/>
      <c r="H30" s="1632"/>
      <c r="I30" s="1632"/>
      <c r="J30" s="1632"/>
      <c r="K30" s="1632"/>
      <c r="L30" s="1632"/>
      <c r="M30" s="1632"/>
      <c r="N30" s="1632"/>
      <c r="O30" s="1632"/>
      <c r="P30" s="1632"/>
      <c r="Q30" s="1632"/>
      <c r="R30" s="1632"/>
      <c r="S30" s="1632"/>
      <c r="T30" s="1632"/>
      <c r="U30" s="1632"/>
      <c r="V30" s="1632"/>
      <c r="W30" s="1632"/>
      <c r="X30" s="1632"/>
      <c r="Y30" s="1632"/>
      <c r="Z30" s="1632"/>
      <c r="AA30" s="1632"/>
      <c r="AB30" s="1632"/>
      <c r="AC30" s="1633"/>
    </row>
    <row r="31" spans="1:29" ht="20.100000000000001" customHeight="1">
      <c r="A31" s="1568" t="s">
        <v>3492</v>
      </c>
      <c r="B31" s="1569"/>
      <c r="C31" s="1569"/>
      <c r="D31" s="1569"/>
      <c r="E31" s="1569"/>
      <c r="F31" s="1569"/>
      <c r="G31" s="1569"/>
      <c r="H31" s="1569"/>
      <c r="I31" s="1569"/>
      <c r="J31" s="1614"/>
      <c r="K31" s="1572" t="s">
        <v>3494</v>
      </c>
      <c r="L31" s="1575"/>
      <c r="M31" s="1575"/>
      <c r="N31" s="1575"/>
      <c r="O31" s="1575"/>
      <c r="P31" s="1575"/>
      <c r="Q31" s="1575"/>
      <c r="R31" s="1575"/>
      <c r="S31" s="1615"/>
      <c r="T31" s="1575" t="s">
        <v>3848</v>
      </c>
      <c r="U31" s="1575"/>
      <c r="V31" s="1575"/>
      <c r="W31" s="1575"/>
      <c r="X31" s="1575"/>
      <c r="Y31" s="1575"/>
      <c r="Z31" s="1575"/>
      <c r="AA31" s="1575"/>
      <c r="AB31" s="1575"/>
      <c r="AC31" s="1615"/>
    </row>
    <row r="32" spans="1:29" ht="20.100000000000001" customHeight="1">
      <c r="A32" s="1547"/>
      <c r="B32" s="1548"/>
      <c r="C32" s="1548"/>
      <c r="D32" s="1548"/>
      <c r="E32" s="1548"/>
      <c r="F32" s="1548"/>
      <c r="G32" s="1548"/>
      <c r="H32" s="1548"/>
      <c r="I32" s="1548"/>
      <c r="J32" s="1616"/>
      <c r="K32" s="1547"/>
      <c r="L32" s="1548"/>
      <c r="M32" s="1548"/>
      <c r="N32" s="1548"/>
      <c r="O32" s="1548"/>
      <c r="P32" s="1548"/>
      <c r="Q32" s="1548"/>
      <c r="R32" s="1548"/>
      <c r="S32" s="1616"/>
      <c r="T32" s="1556"/>
      <c r="U32" s="1556"/>
      <c r="V32" s="1556"/>
      <c r="W32" s="1556"/>
      <c r="X32" s="1556"/>
      <c r="Y32" s="1556"/>
      <c r="Z32" s="1556"/>
      <c r="AA32" s="1556"/>
      <c r="AB32" s="1556"/>
      <c r="AC32" s="1618"/>
    </row>
    <row r="33" spans="1:29" ht="20.100000000000001" customHeight="1">
      <c r="A33" s="1617"/>
      <c r="B33" s="1556"/>
      <c r="C33" s="1556"/>
      <c r="D33" s="1556"/>
      <c r="E33" s="1556"/>
      <c r="F33" s="1556"/>
      <c r="G33" s="1556"/>
      <c r="H33" s="1556"/>
      <c r="I33" s="1556"/>
      <c r="J33" s="1618"/>
      <c r="K33" s="1617"/>
      <c r="L33" s="1556"/>
      <c r="M33" s="1556"/>
      <c r="N33" s="1556"/>
      <c r="O33" s="1556"/>
      <c r="P33" s="1556"/>
      <c r="Q33" s="1556"/>
      <c r="R33" s="1556"/>
      <c r="S33" s="1618"/>
      <c r="T33" s="1556"/>
      <c r="U33" s="1556"/>
      <c r="V33" s="1556"/>
      <c r="W33" s="1556"/>
      <c r="X33" s="1556"/>
      <c r="Y33" s="1556"/>
      <c r="Z33" s="1556"/>
      <c r="AA33" s="1556"/>
      <c r="AB33" s="1556"/>
      <c r="AC33" s="1618"/>
    </row>
    <row r="34" spans="1:29" ht="20.100000000000001" customHeight="1">
      <c r="A34" s="1617"/>
      <c r="B34" s="1556"/>
      <c r="C34" s="1556"/>
      <c r="D34" s="1556"/>
      <c r="E34" s="1556"/>
      <c r="F34" s="1556"/>
      <c r="G34" s="1556"/>
      <c r="H34" s="1556"/>
      <c r="I34" s="1556"/>
      <c r="J34" s="1618"/>
      <c r="K34" s="1617"/>
      <c r="L34" s="1556"/>
      <c r="M34" s="1556"/>
      <c r="N34" s="1556"/>
      <c r="O34" s="1556"/>
      <c r="P34" s="1556"/>
      <c r="Q34" s="1556"/>
      <c r="R34" s="1556"/>
      <c r="S34" s="1618"/>
      <c r="T34" s="1556"/>
      <c r="U34" s="1556"/>
      <c r="V34" s="1556"/>
      <c r="W34" s="1556"/>
      <c r="X34" s="1556"/>
      <c r="Y34" s="1556"/>
      <c r="Z34" s="1556"/>
      <c r="AA34" s="1556"/>
      <c r="AB34" s="1556"/>
      <c r="AC34" s="1618"/>
    </row>
    <row r="35" spans="1:29" ht="20.100000000000001" customHeight="1">
      <c r="A35" s="1617"/>
      <c r="B35" s="1556"/>
      <c r="C35" s="1556"/>
      <c r="D35" s="1556"/>
      <c r="E35" s="1556"/>
      <c r="F35" s="1556"/>
      <c r="G35" s="1556"/>
      <c r="H35" s="1556"/>
      <c r="I35" s="1556"/>
      <c r="J35" s="1618"/>
      <c r="K35" s="1617"/>
      <c r="L35" s="1556"/>
      <c r="M35" s="1556"/>
      <c r="N35" s="1556"/>
      <c r="O35" s="1556"/>
      <c r="P35" s="1556"/>
      <c r="Q35" s="1556"/>
      <c r="R35" s="1556"/>
      <c r="S35" s="1618"/>
      <c r="T35" s="1556"/>
      <c r="U35" s="1556"/>
      <c r="V35" s="1556"/>
      <c r="W35" s="1556"/>
      <c r="X35" s="1556"/>
      <c r="Y35" s="1556"/>
      <c r="Z35" s="1556"/>
      <c r="AA35" s="1556"/>
      <c r="AB35" s="1556"/>
      <c r="AC35" s="1618"/>
    </row>
    <row r="36" spans="1:29" ht="20.100000000000001" customHeight="1">
      <c r="A36" s="1617"/>
      <c r="B36" s="1556"/>
      <c r="C36" s="1556"/>
      <c r="D36" s="1556"/>
      <c r="E36" s="1556"/>
      <c r="F36" s="1556"/>
      <c r="G36" s="1556"/>
      <c r="H36" s="1556"/>
      <c r="I36" s="1556"/>
      <c r="J36" s="1618"/>
      <c r="K36" s="1617"/>
      <c r="L36" s="1556"/>
      <c r="M36" s="1556"/>
      <c r="N36" s="1556"/>
      <c r="O36" s="1556"/>
      <c r="P36" s="1556"/>
      <c r="Q36" s="1556"/>
      <c r="R36" s="1556"/>
      <c r="S36" s="1618"/>
      <c r="T36" s="1556"/>
      <c r="U36" s="1556"/>
      <c r="V36" s="1556"/>
      <c r="W36" s="1556"/>
      <c r="X36" s="1556"/>
      <c r="Y36" s="1556"/>
      <c r="Z36" s="1556"/>
      <c r="AA36" s="1556"/>
      <c r="AB36" s="1556"/>
      <c r="AC36" s="1618"/>
    </row>
    <row r="37" spans="1:29" ht="20.100000000000001" customHeight="1">
      <c r="A37" s="1619"/>
      <c r="B37" s="1620"/>
      <c r="C37" s="1620"/>
      <c r="D37" s="1620"/>
      <c r="E37" s="1620"/>
      <c r="F37" s="1620"/>
      <c r="G37" s="1620"/>
      <c r="H37" s="1620"/>
      <c r="I37" s="1620"/>
      <c r="J37" s="1621"/>
      <c r="K37" s="1619"/>
      <c r="L37" s="1620"/>
      <c r="M37" s="1620"/>
      <c r="N37" s="1620"/>
      <c r="O37" s="1620"/>
      <c r="P37" s="1620"/>
      <c r="Q37" s="1620"/>
      <c r="R37" s="1620"/>
      <c r="S37" s="1621"/>
      <c r="T37" s="1620"/>
      <c r="U37" s="1620"/>
      <c r="V37" s="1620"/>
      <c r="W37" s="1620"/>
      <c r="X37" s="1620"/>
      <c r="Y37" s="1620"/>
      <c r="Z37" s="1620"/>
      <c r="AA37" s="1620"/>
      <c r="AB37" s="1620"/>
      <c r="AC37" s="1621"/>
    </row>
    <row r="38" spans="1:29" ht="20.100000000000001" customHeight="1">
      <c r="A38" s="1557" t="s">
        <v>3849</v>
      </c>
      <c r="B38" s="1557"/>
      <c r="C38" s="1557"/>
      <c r="D38" s="17" t="s">
        <v>3437</v>
      </c>
    </row>
    <row r="39" spans="1:29" ht="20.100000000000001" customHeight="1">
      <c r="A39" s="17"/>
      <c r="B39" s="17"/>
      <c r="C39" s="17">
        <v>2</v>
      </c>
      <c r="D39" s="17" t="s">
        <v>3850</v>
      </c>
    </row>
    <row r="40" spans="1:29" ht="20.100000000000001" customHeight="1">
      <c r="A40" s="17"/>
      <c r="B40" s="17"/>
      <c r="C40" s="17"/>
      <c r="D40" s="17" t="s">
        <v>3851</v>
      </c>
    </row>
    <row r="41" spans="1:29">
      <c r="A41" s="1546">
        <v>3</v>
      </c>
      <c r="B41" s="1613"/>
      <c r="C41" s="1613"/>
      <c r="D41" s="17" t="s">
        <v>3495</v>
      </c>
    </row>
  </sheetData>
  <mergeCells count="30">
    <mergeCell ref="C14:K14"/>
    <mergeCell ref="A3:AC3"/>
    <mergeCell ref="T5:AC5"/>
    <mergeCell ref="S9:AA10"/>
    <mergeCell ref="S12:AA12"/>
    <mergeCell ref="AB12:AC12"/>
    <mergeCell ref="A17:F18"/>
    <mergeCell ref="G17:AC18"/>
    <mergeCell ref="A19:F20"/>
    <mergeCell ref="G19:I20"/>
    <mergeCell ref="J19:O20"/>
    <mergeCell ref="P19:U20"/>
    <mergeCell ref="V19:AA20"/>
    <mergeCell ref="AB19:AC20"/>
    <mergeCell ref="A21:F22"/>
    <mergeCell ref="G21:O22"/>
    <mergeCell ref="A23:F26"/>
    <mergeCell ref="G23:AC26"/>
    <mergeCell ref="A27:F30"/>
    <mergeCell ref="G27:H27"/>
    <mergeCell ref="I27:N27"/>
    <mergeCell ref="G28:AC30"/>
    <mergeCell ref="A41:C41"/>
    <mergeCell ref="A38:C38"/>
    <mergeCell ref="A31:J31"/>
    <mergeCell ref="K31:S31"/>
    <mergeCell ref="T31:AC31"/>
    <mergeCell ref="A32:J37"/>
    <mergeCell ref="K32:S37"/>
    <mergeCell ref="T32:AC37"/>
  </mergeCells>
  <phoneticPr fontId="116"/>
  <dataValidations count="1">
    <dataValidation type="list" allowBlank="1" showInputMessage="1" showErrorMessage="1" sqref="G27" xr:uid="{00000000-0002-0000-2800-000000000000}">
      <formula1>"☐,☑"</formula1>
    </dataValidation>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39"/>
  <sheetViews>
    <sheetView zoomScaleNormal="100" zoomScaleSheetLayoutView="100" workbookViewId="0">
      <selection activeCell="AD1" sqref="AD1"/>
    </sheetView>
  </sheetViews>
  <sheetFormatPr defaultColWidth="9" defaultRowHeight="13.5"/>
  <cols>
    <col min="1" max="2" width="1.875" style="516" customWidth="1"/>
    <col min="3" max="27" width="3.125" style="516" customWidth="1"/>
    <col min="28" max="29" width="1.875" style="516" customWidth="1"/>
    <col min="30" max="36" width="3.125" style="516" customWidth="1"/>
    <col min="37" max="37" width="9" style="516" customWidth="1"/>
    <col min="38" max="16384" width="9" style="516"/>
  </cols>
  <sheetData>
    <row r="1" spans="1:30" ht="20.100000000000001" customHeight="1"/>
    <row r="2" spans="1:30" ht="20.100000000000001" customHeight="1">
      <c r="A2" s="517"/>
      <c r="B2" s="768"/>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9"/>
    </row>
    <row r="3" spans="1:30" ht="20.100000000000001" customHeight="1">
      <c r="A3" s="1606" t="s">
        <v>3863</v>
      </c>
      <c r="B3" s="1607"/>
      <c r="C3" s="1645"/>
      <c r="D3" s="1645"/>
      <c r="E3" s="1645"/>
      <c r="F3" s="1645"/>
      <c r="G3" s="1645"/>
      <c r="H3" s="1645"/>
      <c r="I3" s="1645"/>
      <c r="J3" s="1645"/>
      <c r="K3" s="1645"/>
      <c r="L3" s="1645"/>
      <c r="M3" s="1645"/>
      <c r="N3" s="1645"/>
      <c r="O3" s="1645"/>
      <c r="P3" s="1645"/>
      <c r="Q3" s="1645"/>
      <c r="R3" s="1645"/>
      <c r="S3" s="1645"/>
      <c r="T3" s="1645"/>
      <c r="U3" s="1645"/>
      <c r="V3" s="1645"/>
      <c r="W3" s="1645"/>
      <c r="X3" s="1645"/>
      <c r="Y3" s="1645"/>
      <c r="Z3" s="1645"/>
      <c r="AA3" s="1645"/>
      <c r="AB3" s="1645"/>
      <c r="AC3" s="1658"/>
      <c r="AD3" s="520"/>
    </row>
    <row r="4" spans="1:30" ht="20.100000000000001" customHeight="1">
      <c r="A4" s="519"/>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20"/>
      <c r="AB4" s="520"/>
      <c r="AC4" s="533"/>
      <c r="AD4" s="520"/>
    </row>
    <row r="5" spans="1:30" ht="20.100000000000001" customHeight="1">
      <c r="A5" s="522"/>
      <c r="T5" s="1605" t="s">
        <v>3462</v>
      </c>
      <c r="U5" s="1605"/>
      <c r="V5" s="1605"/>
      <c r="W5" s="1605"/>
      <c r="X5" s="1605"/>
      <c r="Y5" s="1605"/>
      <c r="Z5" s="1605"/>
      <c r="AA5" s="1605"/>
      <c r="AB5" s="1605"/>
      <c r="AC5" s="1660"/>
      <c r="AD5" s="526"/>
    </row>
    <row r="6" spans="1:30" ht="20.100000000000001" customHeight="1">
      <c r="A6" s="522"/>
      <c r="B6" s="516" t="s">
        <v>206</v>
      </c>
      <c r="AC6" s="524"/>
    </row>
    <row r="7" spans="1:30" ht="20.100000000000001" customHeight="1">
      <c r="A7" s="522"/>
      <c r="B7" s="516" t="s">
        <v>3838</v>
      </c>
      <c r="AC7" s="524"/>
    </row>
    <row r="8" spans="1:30" ht="20.100000000000001" customHeight="1">
      <c r="A8" s="522"/>
      <c r="AC8" s="524"/>
    </row>
    <row r="9" spans="1:30" ht="20.100000000000001" customHeight="1">
      <c r="A9" s="522"/>
      <c r="N9" s="516" t="s">
        <v>3839</v>
      </c>
      <c r="Q9" s="516" t="s">
        <v>261</v>
      </c>
      <c r="S9" s="1612"/>
      <c r="T9" s="1612"/>
      <c r="U9" s="1612"/>
      <c r="V9" s="1612"/>
      <c r="W9" s="1612"/>
      <c r="X9" s="1612"/>
      <c r="Y9" s="1612"/>
      <c r="Z9" s="1612"/>
      <c r="AA9" s="1612"/>
      <c r="AC9" s="524"/>
    </row>
    <row r="10" spans="1:30" ht="20.100000000000001" customHeight="1">
      <c r="A10" s="522"/>
      <c r="S10" s="1612"/>
      <c r="T10" s="1612"/>
      <c r="U10" s="1612"/>
      <c r="V10" s="1612"/>
      <c r="W10" s="1612"/>
      <c r="X10" s="1612"/>
      <c r="Y10" s="1612"/>
      <c r="Z10" s="1612"/>
      <c r="AA10" s="1612"/>
      <c r="AC10" s="524"/>
    </row>
    <row r="11" spans="1:30" ht="20.100000000000001" customHeight="1">
      <c r="A11" s="522"/>
      <c r="AC11" s="524"/>
    </row>
    <row r="12" spans="1:30" ht="20.100000000000001" customHeight="1">
      <c r="A12" s="522"/>
      <c r="Q12" s="516" t="s">
        <v>247</v>
      </c>
      <c r="S12" s="1612"/>
      <c r="T12" s="1612"/>
      <c r="U12" s="1612"/>
      <c r="V12" s="1612"/>
      <c r="W12" s="1612"/>
      <c r="X12" s="1612"/>
      <c r="Y12" s="1612"/>
      <c r="Z12" s="1612"/>
      <c r="AA12" s="1612"/>
      <c r="AB12" s="1556"/>
      <c r="AC12" s="1618"/>
    </row>
    <row r="13" spans="1:30" ht="20.100000000000001" customHeight="1">
      <c r="A13" s="522"/>
      <c r="AC13" s="524"/>
    </row>
    <row r="14" spans="1:30" ht="20.100000000000001" customHeight="1">
      <c r="A14" s="522"/>
      <c r="C14" s="516" t="s">
        <v>3864</v>
      </c>
      <c r="AC14" s="524"/>
    </row>
    <row r="15" spans="1:30" ht="20.100000000000001" customHeight="1">
      <c r="A15" s="522"/>
      <c r="AC15" s="524"/>
    </row>
    <row r="16" spans="1:30" ht="20.100000000000001" customHeight="1">
      <c r="A16" s="1587" t="s">
        <v>3844</v>
      </c>
      <c r="B16" s="1588"/>
      <c r="C16" s="1588"/>
      <c r="D16" s="1588"/>
      <c r="E16" s="1588"/>
      <c r="F16" s="1622"/>
      <c r="G16" s="1596" t="str">
        <f>cst_wskakunin_owner1__space4</f>
        <v/>
      </c>
      <c r="H16" s="1637"/>
      <c r="I16" s="1637"/>
      <c r="J16" s="1637"/>
      <c r="K16" s="1637"/>
      <c r="L16" s="1637"/>
      <c r="M16" s="1637"/>
      <c r="N16" s="1637"/>
      <c r="O16" s="1637"/>
      <c r="P16" s="1637"/>
      <c r="Q16" s="1637"/>
      <c r="R16" s="1637"/>
      <c r="S16" s="1637"/>
      <c r="T16" s="1637"/>
      <c r="U16" s="1637"/>
      <c r="V16" s="1637"/>
      <c r="W16" s="1637"/>
      <c r="X16" s="1637"/>
      <c r="Y16" s="1637"/>
      <c r="Z16" s="1637"/>
      <c r="AA16" s="1637"/>
      <c r="AB16" s="1637"/>
      <c r="AC16" s="1638"/>
    </row>
    <row r="17" spans="1:29" ht="20.100000000000001" customHeight="1">
      <c r="A17" s="1623"/>
      <c r="B17" s="1624"/>
      <c r="C17" s="1624"/>
      <c r="D17" s="1624"/>
      <c r="E17" s="1624"/>
      <c r="F17" s="1625"/>
      <c r="G17" s="1639"/>
      <c r="H17" s="1640"/>
      <c r="I17" s="1640"/>
      <c r="J17" s="1640"/>
      <c r="K17" s="1640"/>
      <c r="L17" s="1640"/>
      <c r="M17" s="1640"/>
      <c r="N17" s="1640"/>
      <c r="O17" s="1640"/>
      <c r="P17" s="1640"/>
      <c r="Q17" s="1640"/>
      <c r="R17" s="1640"/>
      <c r="S17" s="1640"/>
      <c r="T17" s="1640"/>
      <c r="U17" s="1640"/>
      <c r="V17" s="1640"/>
      <c r="W17" s="1640"/>
      <c r="X17" s="1640"/>
      <c r="Y17" s="1640"/>
      <c r="Z17" s="1640"/>
      <c r="AA17" s="1640"/>
      <c r="AB17" s="1640"/>
      <c r="AC17" s="1641"/>
    </row>
    <row r="18" spans="1:29" ht="20.100000000000001" customHeight="1">
      <c r="A18" s="1576" t="s">
        <v>165</v>
      </c>
      <c r="B18" s="1577"/>
      <c r="C18" s="1577"/>
      <c r="D18" s="1577"/>
      <c r="E18" s="1577"/>
      <c r="F18" s="1646"/>
      <c r="G18" s="1650" t="s">
        <v>3426</v>
      </c>
      <c r="H18" s="1651"/>
      <c r="I18" s="1651"/>
      <c r="J18" s="1654"/>
      <c r="K18" s="1654"/>
      <c r="L18" s="1654"/>
      <c r="M18" s="1654"/>
      <c r="N18" s="1654"/>
      <c r="O18" s="1654"/>
      <c r="P18" s="1656" t="s">
        <v>3427</v>
      </c>
      <c r="Q18" s="1656"/>
      <c r="R18" s="1656"/>
      <c r="S18" s="1656"/>
      <c r="T18" s="1656"/>
      <c r="U18" s="1656"/>
      <c r="V18" s="1654"/>
      <c r="W18" s="1654"/>
      <c r="X18" s="1654"/>
      <c r="Y18" s="1654"/>
      <c r="Z18" s="1654"/>
      <c r="AA18" s="1654"/>
      <c r="AB18" s="1577" t="s">
        <v>2849</v>
      </c>
      <c r="AC18" s="1646"/>
    </row>
    <row r="19" spans="1:29" ht="20.100000000000001" customHeight="1">
      <c r="A19" s="1647"/>
      <c r="B19" s="1648"/>
      <c r="C19" s="1648"/>
      <c r="D19" s="1648"/>
      <c r="E19" s="1648"/>
      <c r="F19" s="1649"/>
      <c r="G19" s="1652"/>
      <c r="H19" s="1653"/>
      <c r="I19" s="1653"/>
      <c r="J19" s="1655"/>
      <c r="K19" s="1655"/>
      <c r="L19" s="1655"/>
      <c r="M19" s="1655"/>
      <c r="N19" s="1655"/>
      <c r="O19" s="1655"/>
      <c r="P19" s="1657"/>
      <c r="Q19" s="1657"/>
      <c r="R19" s="1657"/>
      <c r="S19" s="1657"/>
      <c r="T19" s="1657"/>
      <c r="U19" s="1657"/>
      <c r="V19" s="1655"/>
      <c r="W19" s="1655"/>
      <c r="X19" s="1655"/>
      <c r="Y19" s="1655"/>
      <c r="Z19" s="1655"/>
      <c r="AA19" s="1655"/>
      <c r="AB19" s="1648"/>
      <c r="AC19" s="1649"/>
    </row>
    <row r="20" spans="1:29" ht="20.100000000000001" customHeight="1">
      <c r="A20" s="1587" t="s">
        <v>3855</v>
      </c>
      <c r="B20" s="1588"/>
      <c r="C20" s="1588"/>
      <c r="D20" s="1588"/>
      <c r="E20" s="1588"/>
      <c r="F20" s="1622"/>
      <c r="G20" s="1583" t="s">
        <v>3462</v>
      </c>
      <c r="H20" s="1626"/>
      <c r="I20" s="1626"/>
      <c r="J20" s="1626"/>
      <c r="K20" s="1626"/>
      <c r="L20" s="1626"/>
      <c r="M20" s="1626"/>
      <c r="N20" s="1626"/>
      <c r="O20" s="1626"/>
      <c r="P20" s="768"/>
      <c r="Q20" s="768"/>
      <c r="R20" s="768"/>
      <c r="S20" s="768"/>
      <c r="T20" s="768"/>
      <c r="U20" s="768"/>
      <c r="V20" s="768"/>
      <c r="W20" s="768"/>
      <c r="X20" s="768"/>
      <c r="Y20" s="768"/>
      <c r="Z20" s="768"/>
      <c r="AA20" s="768"/>
      <c r="AB20" s="768"/>
      <c r="AC20" s="769"/>
    </row>
    <row r="21" spans="1:29" ht="20.100000000000001" customHeight="1">
      <c r="A21" s="1623"/>
      <c r="B21" s="1624"/>
      <c r="C21" s="1624"/>
      <c r="D21" s="1624"/>
      <c r="E21" s="1624"/>
      <c r="F21" s="1625"/>
      <c r="G21" s="1627"/>
      <c r="H21" s="1628"/>
      <c r="I21" s="1628"/>
      <c r="J21" s="1628"/>
      <c r="K21" s="1628"/>
      <c r="L21" s="1628"/>
      <c r="M21" s="1628"/>
      <c r="N21" s="1628"/>
      <c r="O21" s="1628"/>
      <c r="P21" s="527"/>
      <c r="Q21" s="527"/>
      <c r="R21" s="527"/>
      <c r="S21" s="527"/>
      <c r="T21" s="527"/>
      <c r="U21" s="527"/>
      <c r="V21" s="527"/>
      <c r="W21" s="527"/>
      <c r="X21" s="527"/>
      <c r="Y21" s="527"/>
      <c r="Z21" s="527"/>
      <c r="AA21" s="527"/>
      <c r="AB21" s="527"/>
      <c r="AC21" s="528"/>
    </row>
    <row r="22" spans="1:29" ht="20.100000000000001" customHeight="1">
      <c r="A22" s="1587" t="s">
        <v>3845</v>
      </c>
      <c r="B22" s="1588"/>
      <c r="C22" s="1588"/>
      <c r="D22" s="1588"/>
      <c r="E22" s="1588"/>
      <c r="F22" s="1622"/>
      <c r="G22" s="1596" t="str">
        <f>cst_wskakunin_BUILD__address</f>
        <v/>
      </c>
      <c r="H22" s="1637"/>
      <c r="I22" s="1637"/>
      <c r="J22" s="1637"/>
      <c r="K22" s="1637"/>
      <c r="L22" s="1637"/>
      <c r="M22" s="1637"/>
      <c r="N22" s="1637"/>
      <c r="O22" s="1637"/>
      <c r="P22" s="1637"/>
      <c r="Q22" s="1637"/>
      <c r="R22" s="1637"/>
      <c r="S22" s="1637"/>
      <c r="T22" s="1637"/>
      <c r="U22" s="1637"/>
      <c r="V22" s="1637"/>
      <c r="W22" s="1637"/>
      <c r="X22" s="1637"/>
      <c r="Y22" s="1637"/>
      <c r="Z22" s="1637"/>
      <c r="AA22" s="1637"/>
      <c r="AB22" s="1637"/>
      <c r="AC22" s="1638"/>
    </row>
    <row r="23" spans="1:29" ht="20.100000000000001" customHeight="1">
      <c r="A23" s="1634"/>
      <c r="B23" s="1635"/>
      <c r="C23" s="1635"/>
      <c r="D23" s="1635"/>
      <c r="E23" s="1635"/>
      <c r="F23" s="1636"/>
      <c r="G23" s="1642"/>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4"/>
    </row>
    <row r="24" spans="1:29" ht="20.100000000000001" customHeight="1">
      <c r="A24" s="1634"/>
      <c r="B24" s="1635"/>
      <c r="C24" s="1635"/>
      <c r="D24" s="1635"/>
      <c r="E24" s="1635"/>
      <c r="F24" s="1636"/>
      <c r="G24" s="1642"/>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4"/>
    </row>
    <row r="25" spans="1:29" ht="20.100000000000001" customHeight="1">
      <c r="A25" s="1623"/>
      <c r="B25" s="1624"/>
      <c r="C25" s="1624"/>
      <c r="D25" s="1624"/>
      <c r="E25" s="1624"/>
      <c r="F25" s="1625"/>
      <c r="G25" s="1639"/>
      <c r="H25" s="1640"/>
      <c r="I25" s="1640"/>
      <c r="J25" s="1640"/>
      <c r="K25" s="1640"/>
      <c r="L25" s="1640"/>
      <c r="M25" s="1640"/>
      <c r="N25" s="1640"/>
      <c r="O25" s="1640"/>
      <c r="P25" s="1640"/>
      <c r="Q25" s="1640"/>
      <c r="R25" s="1640"/>
      <c r="S25" s="1640"/>
      <c r="T25" s="1640"/>
      <c r="U25" s="1640"/>
      <c r="V25" s="1640"/>
      <c r="W25" s="1640"/>
      <c r="X25" s="1640"/>
      <c r="Y25" s="1640"/>
      <c r="Z25" s="1640"/>
      <c r="AA25" s="1640"/>
      <c r="AB25" s="1640"/>
      <c r="AC25" s="1641"/>
    </row>
    <row r="26" spans="1:29" ht="20.100000000000001" customHeight="1">
      <c r="A26" s="1547" t="s">
        <v>3865</v>
      </c>
      <c r="B26" s="1548"/>
      <c r="C26" s="1548"/>
      <c r="D26" s="1548"/>
      <c r="E26" s="1548"/>
      <c r="F26" s="1616"/>
      <c r="G26" s="1559" t="s">
        <v>3489</v>
      </c>
      <c r="H26" s="1629"/>
      <c r="I26" s="1548" t="s">
        <v>3847</v>
      </c>
      <c r="J26" s="1548"/>
      <c r="K26" s="1548"/>
      <c r="L26" s="1548"/>
      <c r="M26" s="1548"/>
      <c r="N26" s="1548"/>
      <c r="O26" s="768"/>
      <c r="P26" s="768"/>
      <c r="Q26" s="768"/>
      <c r="R26" s="768"/>
      <c r="S26" s="768"/>
      <c r="T26" s="768"/>
      <c r="U26" s="768"/>
      <c r="V26" s="768"/>
      <c r="W26" s="768"/>
      <c r="X26" s="768"/>
      <c r="Y26" s="768"/>
      <c r="Z26" s="768"/>
      <c r="AA26" s="768"/>
      <c r="AB26" s="768"/>
      <c r="AC26" s="769"/>
    </row>
    <row r="27" spans="1:29" ht="20.100000000000001" customHeight="1">
      <c r="A27" s="1617"/>
      <c r="B27" s="1556"/>
      <c r="C27" s="1556"/>
      <c r="D27" s="1556"/>
      <c r="E27" s="1556"/>
      <c r="F27" s="1618"/>
      <c r="G27" s="1561"/>
      <c r="H27" s="1612"/>
      <c r="I27" s="1612"/>
      <c r="J27" s="1612"/>
      <c r="K27" s="1612"/>
      <c r="L27" s="1612"/>
      <c r="M27" s="1612"/>
      <c r="N27" s="1612"/>
      <c r="O27" s="1612"/>
      <c r="P27" s="1612"/>
      <c r="Q27" s="1612"/>
      <c r="R27" s="1612"/>
      <c r="S27" s="1612"/>
      <c r="T27" s="1612"/>
      <c r="U27" s="1612"/>
      <c r="V27" s="1612"/>
      <c r="W27" s="1612"/>
      <c r="X27" s="1612"/>
      <c r="Y27" s="1612"/>
      <c r="Z27" s="1612"/>
      <c r="AA27" s="1612"/>
      <c r="AB27" s="1612"/>
      <c r="AC27" s="1630"/>
    </row>
    <row r="28" spans="1:29" ht="20.100000000000001" customHeight="1">
      <c r="A28" s="1617"/>
      <c r="B28" s="1556"/>
      <c r="C28" s="1556"/>
      <c r="D28" s="1556"/>
      <c r="E28" s="1556"/>
      <c r="F28" s="1618"/>
      <c r="G28" s="1561"/>
      <c r="H28" s="1612"/>
      <c r="I28" s="1612"/>
      <c r="J28" s="1612"/>
      <c r="K28" s="1612"/>
      <c r="L28" s="1612"/>
      <c r="M28" s="1612"/>
      <c r="N28" s="1612"/>
      <c r="O28" s="1612"/>
      <c r="P28" s="1612"/>
      <c r="Q28" s="1612"/>
      <c r="R28" s="1612"/>
      <c r="S28" s="1612"/>
      <c r="T28" s="1612"/>
      <c r="U28" s="1612"/>
      <c r="V28" s="1612"/>
      <c r="W28" s="1612"/>
      <c r="X28" s="1612"/>
      <c r="Y28" s="1612"/>
      <c r="Z28" s="1612"/>
      <c r="AA28" s="1612"/>
      <c r="AB28" s="1612"/>
      <c r="AC28" s="1630"/>
    </row>
    <row r="29" spans="1:29" ht="20.100000000000001" customHeight="1">
      <c r="A29" s="1619"/>
      <c r="B29" s="1620"/>
      <c r="C29" s="1620"/>
      <c r="D29" s="1620"/>
      <c r="E29" s="1620"/>
      <c r="F29" s="1621"/>
      <c r="G29" s="1631"/>
      <c r="H29" s="1632"/>
      <c r="I29" s="1632"/>
      <c r="J29" s="1632"/>
      <c r="K29" s="1632"/>
      <c r="L29" s="1632"/>
      <c r="M29" s="1632"/>
      <c r="N29" s="1632"/>
      <c r="O29" s="1632"/>
      <c r="P29" s="1632"/>
      <c r="Q29" s="1632"/>
      <c r="R29" s="1632"/>
      <c r="S29" s="1632"/>
      <c r="T29" s="1632"/>
      <c r="U29" s="1632"/>
      <c r="V29" s="1632"/>
      <c r="W29" s="1632"/>
      <c r="X29" s="1632"/>
      <c r="Y29" s="1632"/>
      <c r="Z29" s="1632"/>
      <c r="AA29" s="1632"/>
      <c r="AB29" s="1632"/>
      <c r="AC29" s="1633"/>
    </row>
    <row r="30" spans="1:29" ht="20.100000000000001" customHeight="1">
      <c r="A30" s="1568" t="s">
        <v>3492</v>
      </c>
      <c r="B30" s="1569"/>
      <c r="C30" s="1569"/>
      <c r="D30" s="1569"/>
      <c r="E30" s="1569"/>
      <c r="F30" s="1569"/>
      <c r="G30" s="1569"/>
      <c r="H30" s="1569"/>
      <c r="I30" s="1569"/>
      <c r="J30" s="1614"/>
      <c r="K30" s="1572" t="s">
        <v>3494</v>
      </c>
      <c r="L30" s="1575"/>
      <c r="M30" s="1575"/>
      <c r="N30" s="1575"/>
      <c r="O30" s="1575"/>
      <c r="P30" s="1575"/>
      <c r="Q30" s="1575"/>
      <c r="R30" s="1575"/>
      <c r="S30" s="1615"/>
      <c r="T30" s="1575" t="s">
        <v>3848</v>
      </c>
      <c r="U30" s="1575"/>
      <c r="V30" s="1575"/>
      <c r="W30" s="1575"/>
      <c r="X30" s="1575"/>
      <c r="Y30" s="1575"/>
      <c r="Z30" s="1575"/>
      <c r="AA30" s="1575"/>
      <c r="AB30" s="1575"/>
      <c r="AC30" s="1615"/>
    </row>
    <row r="31" spans="1:29" ht="20.100000000000001" customHeight="1">
      <c r="A31" s="1547"/>
      <c r="B31" s="1548"/>
      <c r="C31" s="1548"/>
      <c r="D31" s="1548"/>
      <c r="E31" s="1548"/>
      <c r="F31" s="1548"/>
      <c r="G31" s="1548"/>
      <c r="H31" s="1548"/>
      <c r="I31" s="1548"/>
      <c r="J31" s="1616"/>
      <c r="K31" s="1547"/>
      <c r="L31" s="1548"/>
      <c r="M31" s="1548"/>
      <c r="N31" s="1548"/>
      <c r="O31" s="1548"/>
      <c r="P31" s="1548"/>
      <c r="Q31" s="1548"/>
      <c r="R31" s="1548"/>
      <c r="S31" s="1616"/>
      <c r="T31" s="1556"/>
      <c r="U31" s="1556"/>
      <c r="V31" s="1556"/>
      <c r="W31" s="1556"/>
      <c r="X31" s="1556"/>
      <c r="Y31" s="1556"/>
      <c r="Z31" s="1556"/>
      <c r="AA31" s="1556"/>
      <c r="AB31" s="1556"/>
      <c r="AC31" s="1618"/>
    </row>
    <row r="32" spans="1:29" ht="20.100000000000001" customHeight="1">
      <c r="A32" s="1617"/>
      <c r="B32" s="1556"/>
      <c r="C32" s="1556"/>
      <c r="D32" s="1556"/>
      <c r="E32" s="1556"/>
      <c r="F32" s="1556"/>
      <c r="G32" s="1556"/>
      <c r="H32" s="1556"/>
      <c r="I32" s="1556"/>
      <c r="J32" s="1618"/>
      <c r="K32" s="1617"/>
      <c r="L32" s="1556"/>
      <c r="M32" s="1556"/>
      <c r="N32" s="1556"/>
      <c r="O32" s="1556"/>
      <c r="P32" s="1556"/>
      <c r="Q32" s="1556"/>
      <c r="R32" s="1556"/>
      <c r="S32" s="1618"/>
      <c r="T32" s="1556"/>
      <c r="U32" s="1556"/>
      <c r="V32" s="1556"/>
      <c r="W32" s="1556"/>
      <c r="X32" s="1556"/>
      <c r="Y32" s="1556"/>
      <c r="Z32" s="1556"/>
      <c r="AA32" s="1556"/>
      <c r="AB32" s="1556"/>
      <c r="AC32" s="1618"/>
    </row>
    <row r="33" spans="1:29" ht="20.100000000000001" customHeight="1">
      <c r="A33" s="1617"/>
      <c r="B33" s="1556"/>
      <c r="C33" s="1556"/>
      <c r="D33" s="1556"/>
      <c r="E33" s="1556"/>
      <c r="F33" s="1556"/>
      <c r="G33" s="1556"/>
      <c r="H33" s="1556"/>
      <c r="I33" s="1556"/>
      <c r="J33" s="1618"/>
      <c r="K33" s="1617"/>
      <c r="L33" s="1556"/>
      <c r="M33" s="1556"/>
      <c r="N33" s="1556"/>
      <c r="O33" s="1556"/>
      <c r="P33" s="1556"/>
      <c r="Q33" s="1556"/>
      <c r="R33" s="1556"/>
      <c r="S33" s="1618"/>
      <c r="T33" s="1556"/>
      <c r="U33" s="1556"/>
      <c r="V33" s="1556"/>
      <c r="W33" s="1556"/>
      <c r="X33" s="1556"/>
      <c r="Y33" s="1556"/>
      <c r="Z33" s="1556"/>
      <c r="AA33" s="1556"/>
      <c r="AB33" s="1556"/>
      <c r="AC33" s="1618"/>
    </row>
    <row r="34" spans="1:29" ht="20.100000000000001" customHeight="1">
      <c r="A34" s="1617"/>
      <c r="B34" s="1556"/>
      <c r="C34" s="1556"/>
      <c r="D34" s="1556"/>
      <c r="E34" s="1556"/>
      <c r="F34" s="1556"/>
      <c r="G34" s="1556"/>
      <c r="H34" s="1556"/>
      <c r="I34" s="1556"/>
      <c r="J34" s="1618"/>
      <c r="K34" s="1617"/>
      <c r="L34" s="1556"/>
      <c r="M34" s="1556"/>
      <c r="N34" s="1556"/>
      <c r="O34" s="1556"/>
      <c r="P34" s="1556"/>
      <c r="Q34" s="1556"/>
      <c r="R34" s="1556"/>
      <c r="S34" s="1618"/>
      <c r="T34" s="1556"/>
      <c r="U34" s="1556"/>
      <c r="V34" s="1556"/>
      <c r="W34" s="1556"/>
      <c r="X34" s="1556"/>
      <c r="Y34" s="1556"/>
      <c r="Z34" s="1556"/>
      <c r="AA34" s="1556"/>
      <c r="AB34" s="1556"/>
      <c r="AC34" s="1618"/>
    </row>
    <row r="35" spans="1:29" ht="20.100000000000001" customHeight="1">
      <c r="A35" s="1617"/>
      <c r="B35" s="1556"/>
      <c r="C35" s="1556"/>
      <c r="D35" s="1556"/>
      <c r="E35" s="1556"/>
      <c r="F35" s="1556"/>
      <c r="G35" s="1556"/>
      <c r="H35" s="1556"/>
      <c r="I35" s="1556"/>
      <c r="J35" s="1618"/>
      <c r="K35" s="1617"/>
      <c r="L35" s="1556"/>
      <c r="M35" s="1556"/>
      <c r="N35" s="1556"/>
      <c r="O35" s="1556"/>
      <c r="P35" s="1556"/>
      <c r="Q35" s="1556"/>
      <c r="R35" s="1556"/>
      <c r="S35" s="1618"/>
      <c r="T35" s="1556"/>
      <c r="U35" s="1556"/>
      <c r="V35" s="1556"/>
      <c r="W35" s="1556"/>
      <c r="X35" s="1556"/>
      <c r="Y35" s="1556"/>
      <c r="Z35" s="1556"/>
      <c r="AA35" s="1556"/>
      <c r="AB35" s="1556"/>
      <c r="AC35" s="1618"/>
    </row>
    <row r="36" spans="1:29" ht="20.100000000000001" customHeight="1">
      <c r="A36" s="1619"/>
      <c r="B36" s="1620"/>
      <c r="C36" s="1620"/>
      <c r="D36" s="1620"/>
      <c r="E36" s="1620"/>
      <c r="F36" s="1620"/>
      <c r="G36" s="1620"/>
      <c r="H36" s="1620"/>
      <c r="I36" s="1620"/>
      <c r="J36" s="1621"/>
      <c r="K36" s="1619"/>
      <c r="L36" s="1620"/>
      <c r="M36" s="1620"/>
      <c r="N36" s="1620"/>
      <c r="O36" s="1620"/>
      <c r="P36" s="1620"/>
      <c r="Q36" s="1620"/>
      <c r="R36" s="1620"/>
      <c r="S36" s="1621"/>
      <c r="T36" s="1620"/>
      <c r="U36" s="1620"/>
      <c r="V36" s="1620"/>
      <c r="W36" s="1620"/>
      <c r="X36" s="1620"/>
      <c r="Y36" s="1620"/>
      <c r="Z36" s="1620"/>
      <c r="AA36" s="1620"/>
      <c r="AB36" s="1620"/>
      <c r="AC36" s="1621"/>
    </row>
    <row r="37" spans="1:29" ht="20.100000000000001" customHeight="1">
      <c r="A37" s="1651" t="s">
        <v>3849</v>
      </c>
      <c r="B37" s="1651"/>
      <c r="C37" s="1651"/>
      <c r="D37" s="516" t="s">
        <v>3437</v>
      </c>
    </row>
    <row r="38" spans="1:29" ht="20.100000000000001" customHeight="1"/>
    <row r="39" spans="1:29" ht="20.100000000000001" customHeight="1">
      <c r="A39" s="1662">
        <v>2</v>
      </c>
      <c r="B39" s="1556"/>
      <c r="C39" s="1556"/>
      <c r="D39" s="516" t="s">
        <v>3495</v>
      </c>
    </row>
  </sheetData>
  <mergeCells count="29">
    <mergeCell ref="AB18:AC19"/>
    <mergeCell ref="A3:AC3"/>
    <mergeCell ref="T5:AC5"/>
    <mergeCell ref="S9:AA10"/>
    <mergeCell ref="S12:AA12"/>
    <mergeCell ref="AB12:AC12"/>
    <mergeCell ref="A16:F17"/>
    <mergeCell ref="G16:AC17"/>
    <mergeCell ref="A18:F19"/>
    <mergeCell ref="G18:I19"/>
    <mergeCell ref="J18:O19"/>
    <mergeCell ref="P18:U19"/>
    <mergeCell ref="V18:AA19"/>
    <mergeCell ref="A20:F21"/>
    <mergeCell ref="G20:O21"/>
    <mergeCell ref="A22:F25"/>
    <mergeCell ref="G22:AC25"/>
    <mergeCell ref="A26:F29"/>
    <mergeCell ref="G26:H26"/>
    <mergeCell ref="I26:N26"/>
    <mergeCell ref="G27:AC29"/>
    <mergeCell ref="A37:C37"/>
    <mergeCell ref="A39:C39"/>
    <mergeCell ref="A30:J30"/>
    <mergeCell ref="K30:S30"/>
    <mergeCell ref="T30:AC30"/>
    <mergeCell ref="A31:J36"/>
    <mergeCell ref="K31:S36"/>
    <mergeCell ref="T31:AC36"/>
  </mergeCells>
  <phoneticPr fontId="116"/>
  <dataValidations count="1">
    <dataValidation type="list" allowBlank="1" showInputMessage="1" showErrorMessage="1" sqref="G26" xr:uid="{00000000-0002-0000-29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2054</vt:i4>
      </vt:variant>
    </vt:vector>
  </HeadingPairs>
  <TitlesOfParts>
    <vt:vector size="2056" baseType="lpstr">
      <vt:lpstr>概要二面_旧</vt:lpstr>
      <vt:lpstr>浄化槽工事完了報告書</vt:lpstr>
      <vt:lpstr>_１級</vt:lpstr>
      <vt:lpstr>_output_sheetname</vt:lpstr>
      <vt:lpstr>_output_title</vt:lpstr>
      <vt:lpstr>chk_INTER_state_in_final</vt:lpstr>
      <vt:lpstr>chk_INTER1_state_in_conf</vt:lpstr>
      <vt:lpstr>chk_INTER2_state_in_conf</vt:lpstr>
      <vt:lpstr>chk_INTER3_state_in_conf</vt:lpstr>
      <vt:lpstr>chk_JOB_KIND_kakunin</vt:lpstr>
      <vt:lpstr>cls_JOB_KIND_base_point</vt:lpstr>
      <vt:lpstr>cls_JOB_KIND_erea</vt:lpstr>
      <vt:lpstr>cls_JOB_SET_KIND_base_point</vt:lpstr>
      <vt:lpstr>cls_JOB_SET_KIND_erea</vt:lpstr>
      <vt:lpstr>cls_TARGET_KIND_base_point</vt:lpstr>
      <vt:lpstr>cls_TARGET_KIND_erea</vt:lpstr>
      <vt:lpstr>cst__output_sheetname</vt:lpstr>
      <vt:lpstr>cst__output_title</vt:lpstr>
      <vt:lpstr>cst_ISSUE_DATE_select</vt:lpstr>
      <vt:lpstr>cst_ISSUE_KOUFU_NAME_select</vt:lpstr>
      <vt:lpstr>cst_ISSUE_NO_select</vt:lpstr>
      <vt:lpstr>cst_koujikikan_month</vt:lpstr>
      <vt:lpstr>cst_koujikikan_year</vt:lpstr>
      <vt:lpstr>cst_Pre_Corp__SHINSEI</vt:lpstr>
      <vt:lpstr>cst_Pre_Corp2__SHINSEI</vt:lpstr>
      <vt:lpstr>cst_Pre_Corptype__SHINSEI</vt:lpstr>
      <vt:lpstr>cst_Pre_Daihyou__SHINSEI</vt:lpstr>
      <vt:lpstr>cst_shinsei_build_p6_01_PAGE6_KOUZOU_KEISAN_KIND__002</vt:lpstr>
      <vt:lpstr>cst_shinsei_build_p6_01_PAGE6_KOUZOU_KEISAN_KIND__004</vt:lpstr>
      <vt:lpstr>cst_shinsei_build_p6_01_PAGE6_KOUZOU_KEISAN_KIND__005</vt:lpstr>
      <vt:lpstr>cst_shinsei_build_YOUTO</vt:lpstr>
      <vt:lpstr>cst_shinsei_HIKIUKE_DATE</vt:lpstr>
      <vt:lpstr>cst_shinsei_ISSUE_DATE</vt:lpstr>
      <vt:lpstr>cst_shinsei_ISSUE_KOUFU_NAME</vt:lpstr>
      <vt:lpstr>cst_shinsei_ISSUE_NO</vt:lpstr>
      <vt:lpstr>cst_shinsei_KAKU_SUMI_NO</vt:lpstr>
      <vt:lpstr>cst_shinsei_KAKUNIN_ISSUE_NO</vt:lpstr>
      <vt:lpstr>cst_shinsei_KAKUNIN_KOUFU_DATE</vt:lpstr>
      <vt:lpstr>cst_shinsei_PROVO_DATE</vt:lpstr>
      <vt:lpstr>cst_shinsei_PROVO_NO</vt:lpstr>
      <vt:lpstr>cst_shinsei_UKETUKE_NO</vt:lpstr>
      <vt:lpstr>cst_shinsei_UNIT_COUNT</vt:lpstr>
      <vt:lpstr>cst_wsjob_JOB_KIND</vt:lpstr>
      <vt:lpstr>cst_wsjob_JOB_KIND_final_box</vt:lpstr>
      <vt:lpstr>cst_wsjob_JOB_KIND_inter_box</vt:lpstr>
      <vt:lpstr>cst_wsjob_JOB_KIND_kakunin_box</vt:lpstr>
      <vt:lpstr>cst_wsjob_JOB_SET_KIND</vt:lpstr>
      <vt:lpstr>cst_wsjob_KENTIKUBUTU_box</vt:lpstr>
      <vt:lpstr>cst_wsjob_KOUSAKUBUTU_box</vt:lpstr>
      <vt:lpstr>cst_wsjob_SYOUKOUKI_box</vt:lpstr>
      <vt:lpstr>cst_wsjob_TARGET_KIND</vt:lpstr>
      <vt:lpstr>cst_wsjob_TARGET_KIND__label</vt:lpstr>
      <vt:lpstr>cst_wskakunin__bouka</vt:lpstr>
      <vt:lpstr>cst_wskakunin__kouji</vt:lpstr>
      <vt:lpstr>cst_wskakunin__kuiki</vt:lpstr>
      <vt:lpstr>cst_wskakunin__kuiki_box</vt:lpstr>
      <vt:lpstr>cst_wskakunin__tosi_kuiki</vt:lpstr>
      <vt:lpstr>cst_wskakunin_20kouzou101_KOUZOUSEKKEI_KOUFU_NO</vt:lpstr>
      <vt:lpstr>cst_wskakunin_20kouzou101_NAME</vt:lpstr>
      <vt:lpstr>cst_wskakunin_20kouzou102_KOUZOUSEKKEI_KOUFU_NO</vt:lpstr>
      <vt:lpstr>cst_wskakunin_20kouzou102_NAME</vt:lpstr>
      <vt:lpstr>cst_wskakunin_20kouzou103_KOUZOUSEKKEI_KOUFU_NO</vt:lpstr>
      <vt:lpstr>cst_wskakunin_20kouzou103_NAME</vt:lpstr>
      <vt:lpstr>cst_wskakunin_20kouzou104_KOUZOUSEKKEI_KOUFU_NO</vt:lpstr>
      <vt:lpstr>cst_wskakunin_20kouzou104_NAME</vt:lpstr>
      <vt:lpstr>cst_wskakunin_20kouzou105_KOUZOUSEKKEI_KOUFU_NO</vt:lpstr>
      <vt:lpstr>cst_wskakunin_20kouzou105_NAME</vt:lpstr>
      <vt:lpstr>cst_wskakunin_20kouzou301_KOUZOUSEKKEI_KOUFU_NO</vt:lpstr>
      <vt:lpstr>cst_wskakunin_20kouzou301_NAME</vt:lpstr>
      <vt:lpstr>cst_wskakunin_20kouzou302_KOUZOUSEKKEI_KOUFU_NO</vt:lpstr>
      <vt:lpstr>cst_wskakunin_20kouzou302_NAME</vt:lpstr>
      <vt:lpstr>cst_wskakunin_20kouzou303_KOUZOUSEKKEI_KOUFU_NO</vt:lpstr>
      <vt:lpstr>cst_wskakunin_20kouzou303_NAME</vt:lpstr>
      <vt:lpstr>cst_wskakunin_20kouzou304_KOUZOUSEKKEI_KOUFU_NO</vt:lpstr>
      <vt:lpstr>cst_wskakunin_20kouzou304_NAME</vt:lpstr>
      <vt:lpstr>cst_wskakunin_20kouzou305_KOUZOUSEKKEI_KOUFU_NO</vt:lpstr>
      <vt:lpstr>cst_wskakunin_20kouzou305_NAME</vt:lpstr>
      <vt:lpstr>cst_wskakunin_20setubi101_NAME</vt:lpstr>
      <vt:lpstr>cst_wskakunin_20setubi101_SETUBISEKKEI_KOUFU_NO</vt:lpstr>
      <vt:lpstr>cst_wskakunin_20setubi102_NAME</vt:lpstr>
      <vt:lpstr>cst_wskakunin_20setubi102_SETUBISEKKEI_KOUFU_NO</vt:lpstr>
      <vt:lpstr>cst_wskakunin_20setubi103_NAME</vt:lpstr>
      <vt:lpstr>cst_wskakunin_20setubi103_SETUBISEKKEI_KOUFU_NO</vt:lpstr>
      <vt:lpstr>cst_wskakunin_20setubi104_NAME</vt:lpstr>
      <vt:lpstr>cst_wskakunin_20setubi104_SETUBISEKKEI_KOUFU_NO</vt:lpstr>
      <vt:lpstr>cst_wskakunin_20setubi105_NAME</vt:lpstr>
      <vt:lpstr>cst_wskakunin_20setubi105_SETUBISEKKEI_KOUFU_NO</vt:lpstr>
      <vt:lpstr>cst_wskakunin_20setubi301_NAME</vt:lpstr>
      <vt:lpstr>cst_wskakunin_20setubi301_SETUBISEKKEI_KOUFU_NO</vt:lpstr>
      <vt:lpstr>cst_wskakunin_20setubi302_NAME</vt:lpstr>
      <vt:lpstr>cst_wskakunin_20setubi302_SETUBISEKKEI_KOUFU_NO</vt:lpstr>
      <vt:lpstr>cst_wskakunin_20setubi303_NAME</vt:lpstr>
      <vt:lpstr>cst_wskakunin_20setubi303_SETUBISEKKEI_KOUFU_NO</vt:lpstr>
      <vt:lpstr>cst_wskakunin_20setubi304_NAME</vt:lpstr>
      <vt:lpstr>cst_wskakunin_20setubi304_SETUBISEKKEI_KOUFU_NO</vt:lpstr>
      <vt:lpstr>cst_wskakunin_20setubi305_NAME</vt:lpstr>
      <vt:lpstr>cst_wskakunin_20setubi305_SETUBISEKKEI_KOUFU_NO</vt:lpstr>
      <vt:lpstr>cst_wskakunin_APPLICANT_NAME</vt:lpstr>
      <vt:lpstr>cst_wskakunin_BOUKA_22JYO</vt:lpstr>
      <vt:lpstr>cst_wskakunin_BOUKA_BOUKA</vt:lpstr>
      <vt:lpstr>cst_wskakunin_BOUKA_JYUN_BOUKA</vt:lpstr>
      <vt:lpstr>cst_wskakunin_BOUKA_NASI</vt:lpstr>
      <vt:lpstr>cst_wskakunin_BOUKA_SETUBI_FLAG</vt:lpstr>
      <vt:lpstr>cst_wskakunin_BOUKA_SETUBI_FLAG_box_off</vt:lpstr>
      <vt:lpstr>cst_wskakunin_BOUKA_SETUBI_FLAG_box_on</vt:lpstr>
      <vt:lpstr>cst_wskakunin_BUILD__address</vt:lpstr>
      <vt:lpstr>cst_wskakunin_BUILD_ADDRESS</vt:lpstr>
      <vt:lpstr>cst_wskakunin_BUILD_JYUKYO__address</vt:lpstr>
      <vt:lpstr>cst_wskakunin_BUILD_JYUKYO_ADDRESS</vt:lpstr>
      <vt:lpstr>cst_wskakunin_BUILD_JYUKYO_KEN__ken</vt:lpstr>
      <vt:lpstr>cst_wskakunin_BUILD_KEN__ken</vt:lpstr>
      <vt:lpstr>cst_wskakunin_BUILD_NAME</vt:lpstr>
      <vt:lpstr>cst_wskakunin_BUILD_NAME_KANA</vt:lpstr>
      <vt:lpstr>cst_wskakunin_BUILD_SHINSEI_COUNT</vt:lpstr>
      <vt:lpstr>cst_wskakunin_BUILD_SONOTA_COUNT</vt:lpstr>
      <vt:lpstr>cst_wskakunin_dairi1__address</vt:lpstr>
      <vt:lpstr>cst_wskakunin_dairi1__sikaku</vt:lpstr>
      <vt:lpstr>cst_wskakunin_dairi1__space</vt:lpstr>
      <vt:lpstr>cst_wskakunin_dairi1_FAX</vt:lpstr>
      <vt:lpstr>cst_wskakunin_dairi1_JIMU__sikaku</vt:lpstr>
      <vt:lpstr>cst_wskakunin_dairi1_JIMU_NAME</vt:lpstr>
      <vt:lpstr>cst_wskakunin_dairi1_JIMU_NO</vt:lpstr>
      <vt:lpstr>cst_wskakunin_dairi1_JIMU_SIKAKU</vt:lpstr>
      <vt:lpstr>cst_wskakunin_dairi1_JIMU_TOUROKU_KIKAN</vt:lpstr>
      <vt:lpstr>cst_wskakunin_dairi1_KENTIKUSI_NO</vt:lpstr>
      <vt:lpstr>cst_wskakunin_dairi1_NAME</vt:lpstr>
      <vt:lpstr>cst_wskakunin_dairi1_NAME_KANA</vt:lpstr>
      <vt:lpstr>cst_wskakunin_dairi1_SIKAKU</vt:lpstr>
      <vt:lpstr>cst_wskakunin_dairi1_TEL</vt:lpstr>
      <vt:lpstr>cst_wskakunin_dairi1_TOUROKU_KIKAN</vt:lpstr>
      <vt:lpstr>cst_wskakunin_dairi1_ZIP</vt:lpstr>
      <vt:lpstr>cst_wskakunin_dairi2__address</vt:lpstr>
      <vt:lpstr>cst_wskakunin_dairi2__sikaku</vt:lpstr>
      <vt:lpstr>cst_wskakunin_dairi2__space</vt:lpstr>
      <vt:lpstr>cst_wskakunin_dairi2_FAX</vt:lpstr>
      <vt:lpstr>cst_wskakunin_dairi2_JIMU__sikaku</vt:lpstr>
      <vt:lpstr>cst_wskakunin_dairi2_JIMU_NAME</vt:lpstr>
      <vt:lpstr>cst_wskakunin_dairi2_JIMU_NO</vt:lpstr>
      <vt:lpstr>cst_wskakunin_dairi2_JIMU_SIKAKU</vt:lpstr>
      <vt:lpstr>cst_wskakunin_dairi2_JIMU_TOUROKU_KIKAN</vt:lpstr>
      <vt:lpstr>cst_wskakunin_dairi2_KENTIKUSI_NO</vt:lpstr>
      <vt:lpstr>cst_wskakunin_dairi2_NAME</vt:lpstr>
      <vt:lpstr>cst_wskakunin_dairi2_NAME_KANA</vt:lpstr>
      <vt:lpstr>cst_wskakunin_dairi2_SIKAKU</vt:lpstr>
      <vt:lpstr>cst_wskakunin_dairi2_TEL</vt:lpstr>
      <vt:lpstr>cst_wskakunin_dairi2_TOUROKU_KIKAN</vt:lpstr>
      <vt:lpstr>cst_wskakunin_dairi2_ZIP</vt:lpstr>
      <vt:lpstr>cst_wskakunin_dairi3__address</vt:lpstr>
      <vt:lpstr>cst_wskakunin_dairi3__sikaku</vt:lpstr>
      <vt:lpstr>cst_wskakunin_dairi3__space</vt:lpstr>
      <vt:lpstr>cst_wskakunin_dairi3_FAX</vt:lpstr>
      <vt:lpstr>cst_wskakunin_dairi3_JIMU__sikaku</vt:lpstr>
      <vt:lpstr>cst_wskakunin_dairi3_JIMU_NAME</vt:lpstr>
      <vt:lpstr>cst_wskakunin_dairi3_JIMU_NO</vt:lpstr>
      <vt:lpstr>cst_wskakunin_dairi3_JIMU_SIKAKU</vt:lpstr>
      <vt:lpstr>cst_wskakunin_dairi3_JIMU_TOUROKU_KIKAN</vt:lpstr>
      <vt:lpstr>cst_wskakunin_dairi3_KENTIKUSI_NO</vt:lpstr>
      <vt:lpstr>cst_wskakunin_dairi3_NAME</vt:lpstr>
      <vt:lpstr>cst_wskakunin_dairi3_NAME_KANA</vt:lpstr>
      <vt:lpstr>cst_wskakunin_dairi3_SIKAKU</vt:lpstr>
      <vt:lpstr>cst_wskakunin_dairi3_TEL</vt:lpstr>
      <vt:lpstr>cst_wskakunin_dairi3_TOUROKU_KIKAN</vt:lpstr>
      <vt:lpstr>cst_wskakunin_dairi3_ZIP</vt:lpstr>
      <vt:lpstr>cst_wskakunin_dairi4__address</vt:lpstr>
      <vt:lpstr>cst_wskakunin_dairi4__sikaku</vt:lpstr>
      <vt:lpstr>cst_wskakunin_dairi4__space</vt:lpstr>
      <vt:lpstr>cst_wskakunin_dairi4_FAX</vt:lpstr>
      <vt:lpstr>cst_wskakunin_dairi4_JIMU__sikaku</vt:lpstr>
      <vt:lpstr>cst_wskakunin_dairi4_JIMU_NAME</vt:lpstr>
      <vt:lpstr>cst_wskakunin_dairi4_JIMU_NO</vt:lpstr>
      <vt:lpstr>cst_wskakunin_dairi4_JIMU_SIKAKU</vt:lpstr>
      <vt:lpstr>cst_wskakunin_dairi4_JIMU_TOUROKU_KIKAN</vt:lpstr>
      <vt:lpstr>cst_wskakunin_dairi4_KENTIKUSI_NO</vt:lpstr>
      <vt:lpstr>cst_wskakunin_dairi4_NAME</vt:lpstr>
      <vt:lpstr>cst_wskakunin_dairi4_NAME_KANA</vt:lpstr>
      <vt:lpstr>cst_wskakunin_dairi4_SIKAKU</vt:lpstr>
      <vt:lpstr>cst_wskakunin_dairi4_TEL</vt:lpstr>
      <vt:lpstr>cst_wskakunin_dairi4_TOUROKU_KIKAN</vt:lpstr>
      <vt:lpstr>cst_wskakunin_dairi4_ZIP</vt:lpstr>
      <vt:lpstr>cst_wskakunin_dairi5__address</vt:lpstr>
      <vt:lpstr>cst_wskakunin_dairi5__sikaku</vt:lpstr>
      <vt:lpstr>cst_wskakunin_dairi5__space</vt:lpstr>
      <vt:lpstr>cst_wskakunin_dairi5_FAX</vt:lpstr>
      <vt:lpstr>cst_wskakunin_dairi5_JIMU__sikaku</vt:lpstr>
      <vt:lpstr>cst_wskakunin_dairi5_JIMU_NAME</vt:lpstr>
      <vt:lpstr>cst_wskakunin_dairi5_JIMU_NO</vt:lpstr>
      <vt:lpstr>cst_wskakunin_dairi5_JIMU_SIKAKU</vt:lpstr>
      <vt:lpstr>cst_wskakunin_dairi5_JIMU_TOUROKU_KIKAN</vt:lpstr>
      <vt:lpstr>cst_wskakunin_dairi5_KENTIKUSI_NO</vt:lpstr>
      <vt:lpstr>cst_wskakunin_dairi5_NAME</vt:lpstr>
      <vt:lpstr>cst_wskakunin_dairi5_NAME_KANA</vt:lpstr>
      <vt:lpstr>cst_wskakunin_dairi5_SIKAKU</vt:lpstr>
      <vt:lpstr>cst_wskakunin_dairi5_TEL</vt:lpstr>
      <vt:lpstr>cst_wskakunin_dairi5_TOUROKU_KIKAN</vt:lpstr>
      <vt:lpstr>cst_wskakunin_dairi5_ZIP</vt:lpstr>
      <vt:lpstr>cst_wskakunin_DOURO_FUKUIN</vt:lpstr>
      <vt:lpstr>cst_wskakunin_DOURO_NAGASA</vt:lpstr>
      <vt:lpstr>cst_wskakunin_ecotekihan01_FUYOU_CAUSE</vt:lpstr>
      <vt:lpstr>cst_wskakunin_ecotekihan01_miteisyutu_kikan_info</vt:lpstr>
      <vt:lpstr>cst_wskakunin_ecotekihan01_teisyutu_kikan_info</vt:lpstr>
      <vt:lpstr>cst_wskakunin_ecotekihan01_TEKIHAN_KIKAN_ADDRESS</vt:lpstr>
      <vt:lpstr>cst_wskakunin_ecotekihan01_TEKIHAN_KIKAN_KEN__ken</vt:lpstr>
      <vt:lpstr>cst_wskakunin_ecotekihan01_TEKIHAN_KIKAN_NAME</vt:lpstr>
      <vt:lpstr>cst_wskakunin_ecotekihan01_TEKIHAN_STATE_miteisyutu</vt:lpstr>
      <vt:lpstr>cst_wskakunin_ecotekihan01_TEKIHAN_STATE_teisyutu</vt:lpstr>
      <vt:lpstr>cst_wskakunin_ecotekihan01_TEKIHAN_STATE_teisyutufuyou</vt:lpstr>
      <vt:lpstr>cst_wskakunin_gaiyou1_EV_KIND</vt:lpstr>
      <vt:lpstr>cst_wskakunin_gaiyou1_KOUJI_KAITIKU</vt:lpstr>
      <vt:lpstr>cst_wskakunin_gaiyou1_KOUJI_SINTIKU</vt:lpstr>
      <vt:lpstr>cst_wskakunin_gaiyou1_KOUJI_SONOTA</vt:lpstr>
      <vt:lpstr>cst_wskakunin_gaiyou1_KOUJI_SONOTA_TEXT</vt:lpstr>
      <vt:lpstr>cst_wskakunin_gaiyou1_KOUJI_ZOUTIKU</vt:lpstr>
      <vt:lpstr>cst_wskakunin_gaiyou1_KOUZOU</vt:lpstr>
      <vt:lpstr>cst_wskakunin_gaiyou1_NINSYOU_NO</vt:lpstr>
      <vt:lpstr>cst_wskakunin_gaiyou1_NO</vt:lpstr>
      <vt:lpstr>cst_wskakunin_gaiyou1_SEKISAI</vt:lpstr>
      <vt:lpstr>cst_wskakunin_gaiyou1_SONOTA</vt:lpstr>
      <vt:lpstr>cst_wskakunin_gaiyou1_SONOTA_and_NINSYOU_NO</vt:lpstr>
      <vt:lpstr>cst_wskakunin_gaiyou1_SPEED</vt:lpstr>
      <vt:lpstr>cst_wskakunin_gaiyou1_TAKASA</vt:lpstr>
      <vt:lpstr>cst_wskakunin_gaiyou1_TEIIN</vt:lpstr>
      <vt:lpstr>cst_wskakunin_gaiyou1_TIKUZOU_MENSEKI_IGAI</vt:lpstr>
      <vt:lpstr>cst_wskakunin_gaiyou1_TIKUZOU_MENSEKI_SHINSEI</vt:lpstr>
      <vt:lpstr>cst_wskakunin_gaiyou1_TIKUZOU_MENSEKI_TOTAL</vt:lpstr>
      <vt:lpstr>cst_wskakunin_gaiyou1_WORK_COUNT_IGAI</vt:lpstr>
      <vt:lpstr>cst_wskakunin_gaiyou1_WORK_COUNT_SHINSEI</vt:lpstr>
      <vt:lpstr>cst_wskakunin_gaiyou1_WORK_COUNT_TOTAL</vt:lpstr>
      <vt:lpstr>cst_wskakunin_gaiyou1_WORK_SYURUI</vt:lpstr>
      <vt:lpstr>cst_wskakunin_gaiyou1_WORK_SYURUI_CODE</vt:lpstr>
      <vt:lpstr>cst_wskakunin_gaiyou1_YOUTO</vt:lpstr>
      <vt:lpstr>cst_wskakunin_iken1__address</vt:lpstr>
      <vt:lpstr>cst_wskakunin_iken1_DOC</vt:lpstr>
      <vt:lpstr>cst_wskakunin_iken1_IKEN_NO</vt:lpstr>
      <vt:lpstr>cst_wskakunin_iken1_JIMU_NAME</vt:lpstr>
      <vt:lpstr>cst_wskakunin_iken1_NAME</vt:lpstr>
      <vt:lpstr>cst_wskakunin_iken1_TEL</vt:lpstr>
      <vt:lpstr>cst_wskakunin_iken1_ZIP</vt:lpstr>
      <vt:lpstr>cst_wskakunin_iken2__address</vt:lpstr>
      <vt:lpstr>cst_wskakunin_iken2_DOC</vt:lpstr>
      <vt:lpstr>cst_wskakunin_iken2_IKEN_NO</vt:lpstr>
      <vt:lpstr>cst_wskakunin_iken2_JIMU_NAME</vt:lpstr>
      <vt:lpstr>cst_wskakunin_iken2_NAME</vt:lpstr>
      <vt:lpstr>cst_wskakunin_iken2_TEL</vt:lpstr>
      <vt:lpstr>cst_wskakunin_iken2_ZIP</vt:lpstr>
      <vt:lpstr>cst_wskakunin_iken3__address</vt:lpstr>
      <vt:lpstr>cst_wskakunin_iken3_DOC</vt:lpstr>
      <vt:lpstr>cst_wskakunin_iken3_IKEN_NO</vt:lpstr>
      <vt:lpstr>cst_wskakunin_iken3_JIMU_NAME</vt:lpstr>
      <vt:lpstr>cst_wskakunin_iken3_NAME</vt:lpstr>
      <vt:lpstr>cst_wskakunin_iken3_TEL</vt:lpstr>
      <vt:lpstr>cst_wskakunin_iken3_ZIP</vt:lpstr>
      <vt:lpstr>cst_wskakunin_iken4__address</vt:lpstr>
      <vt:lpstr>cst_wskakunin_iken4_DOC</vt:lpstr>
      <vt:lpstr>cst_wskakunin_iken4_IKEN_NO</vt:lpstr>
      <vt:lpstr>cst_wskakunin_iken4_JIMU_NAME</vt:lpstr>
      <vt:lpstr>cst_wskakunin_iken4_NAME</vt:lpstr>
      <vt:lpstr>cst_wskakunin_iken4_TEL</vt:lpstr>
      <vt:lpstr>cst_wskakunin_iken4_ZIP</vt:lpstr>
      <vt:lpstr>cst_wskakunin_iken5__address</vt:lpstr>
      <vt:lpstr>cst_wskakunin_iken5_DOC</vt:lpstr>
      <vt:lpstr>cst_wskakunin_iken5_IKEN_NO</vt:lpstr>
      <vt:lpstr>cst_wskakunin_iken5_JIMU_NAME</vt:lpstr>
      <vt:lpstr>cst_wskakunin_iken5_NAME</vt:lpstr>
      <vt:lpstr>cst_wskakunin_iken5_TEL</vt:lpstr>
      <vt:lpstr>cst_wskakunin_iken5_ZIP</vt:lpstr>
      <vt:lpstr>cst_wskakunin_KAISU_TIJYOU_SHINSEI</vt:lpstr>
      <vt:lpstr>cst_wskakunin_KAISU_TIJYOU_SONOTA</vt:lpstr>
      <vt:lpstr>cst_wskakunin_KAISU_TIKA_SHINSEI__zero</vt:lpstr>
      <vt:lpstr>cst_wskakunin_KAISU_TIKA_SONOTA</vt:lpstr>
      <vt:lpstr>cst_wskakunin_kanri1__address</vt:lpstr>
      <vt:lpstr>cst_wskakunin_kanri1__sikaku</vt:lpstr>
      <vt:lpstr>cst_wskakunin_kanri1_DOC</vt:lpstr>
      <vt:lpstr>cst_wskakunin_kanri1_JIMU</vt:lpstr>
      <vt:lpstr>cst_wskakunin_kanri1_JIMU_NAME</vt:lpstr>
      <vt:lpstr>cst_wskakunin_kanri1_JIMU_NO</vt:lpstr>
      <vt:lpstr>cst_wskakunin_kanri1_JIMU_SIKAKU</vt:lpstr>
      <vt:lpstr>cst_wskakunin_kanri1_JIMU_TOUROKU_KIKAN</vt:lpstr>
      <vt:lpstr>cst_wskakunin_kanri1_KENTIKUSI_NO</vt:lpstr>
      <vt:lpstr>cst_wskakunin_kanri1_NAME</vt:lpstr>
      <vt:lpstr>cst_wskakunin_kanri1_SIKAKU</vt:lpstr>
      <vt:lpstr>cst_wskakunin_kanri1_TEL</vt:lpstr>
      <vt:lpstr>cst_wskakunin_kanri1_TOUROKU_KIKAN</vt:lpstr>
      <vt:lpstr>cst_wskakunin_kanri1_ZIP</vt:lpstr>
      <vt:lpstr>cst_wskakunin_kanri1_ZIP2</vt:lpstr>
      <vt:lpstr>cst_wskakunin_kanri10__address</vt:lpstr>
      <vt:lpstr>cst_wskakunin_kanri10__sikaku</vt:lpstr>
      <vt:lpstr>cst_wskakunin_kanri10_DOC</vt:lpstr>
      <vt:lpstr>cst_wskakunin_kanri10_JIMU__sikaku</vt:lpstr>
      <vt:lpstr>cst_wskakunin_kanri10_JIMU_NAME</vt:lpstr>
      <vt:lpstr>cst_wskakunin_kanri10_JIMU_NO</vt:lpstr>
      <vt:lpstr>cst_wskakunin_kanri10_JIMU_SIKAKU</vt:lpstr>
      <vt:lpstr>cst_wskakunin_kanri10_JIMU_TOUROKU_KIKAN</vt:lpstr>
      <vt:lpstr>cst_wskakunin_kanri10_KENTIKUSI_NO</vt:lpstr>
      <vt:lpstr>cst_wskakunin_kanri10_NAME</vt:lpstr>
      <vt:lpstr>cst_wskakunin_kanri10_SIKAKU</vt:lpstr>
      <vt:lpstr>cst_wskakunin_kanri10_TEL</vt:lpstr>
      <vt:lpstr>cst_wskakunin_kanri10_TOUROKU_KIKAN</vt:lpstr>
      <vt:lpstr>cst_wskakunin_kanri10_ZIP</vt:lpstr>
      <vt:lpstr>cst_wskakunin_kanri11__address</vt:lpstr>
      <vt:lpstr>cst_wskakunin_kanri11__sikaku</vt:lpstr>
      <vt:lpstr>cst_wskakunin_kanri11_DOC</vt:lpstr>
      <vt:lpstr>cst_wskakunin_kanri11_JIMU__sikaku</vt:lpstr>
      <vt:lpstr>cst_wskakunin_kanri11_JIMU_NAME</vt:lpstr>
      <vt:lpstr>cst_wskakunin_kanri11_JIMU_NO</vt:lpstr>
      <vt:lpstr>cst_wskakunin_kanri11_JIMU_SIKAKU</vt:lpstr>
      <vt:lpstr>cst_wskakunin_kanri11_JIMU_TOUROKU_KIKAN</vt:lpstr>
      <vt:lpstr>cst_wskakunin_kanri11_KENTIKUSI_NO</vt:lpstr>
      <vt:lpstr>cst_wskakunin_kanri11_NAME</vt:lpstr>
      <vt:lpstr>cst_wskakunin_kanri11_SIKAKU</vt:lpstr>
      <vt:lpstr>cst_wskakunin_kanri11_TEL</vt:lpstr>
      <vt:lpstr>cst_wskakunin_kanri11_TOUROKU_KIKAN</vt:lpstr>
      <vt:lpstr>cst_wskakunin_kanri11_ZIP</vt:lpstr>
      <vt:lpstr>cst_wskakunin_kanri12__address</vt:lpstr>
      <vt:lpstr>cst_wskakunin_kanri12__sikaku</vt:lpstr>
      <vt:lpstr>cst_wskakunin_kanri12_DOC</vt:lpstr>
      <vt:lpstr>cst_wskakunin_kanri12_JIMU__sikaku</vt:lpstr>
      <vt:lpstr>cst_wskakunin_kanri12_JIMU_NAME</vt:lpstr>
      <vt:lpstr>cst_wskakunin_kanri12_JIMU_NO</vt:lpstr>
      <vt:lpstr>cst_wskakunin_kanri12_JIMU_SIKAKU</vt:lpstr>
      <vt:lpstr>cst_wskakunin_kanri12_JIMU_TOUROKU_KIKAN</vt:lpstr>
      <vt:lpstr>cst_wskakunin_kanri12_KENTIKUSI_NO</vt:lpstr>
      <vt:lpstr>cst_wskakunin_kanri12_NAME</vt:lpstr>
      <vt:lpstr>cst_wskakunin_kanri12_SIKAKU</vt:lpstr>
      <vt:lpstr>cst_wskakunin_kanri12_TEL</vt:lpstr>
      <vt:lpstr>cst_wskakunin_kanri12_TOUROKU_KIKAN</vt:lpstr>
      <vt:lpstr>cst_wskakunin_kanri12_ZIP</vt:lpstr>
      <vt:lpstr>cst_wskakunin_kanri2__address</vt:lpstr>
      <vt:lpstr>cst_wskakunin_kanri2__sikaku</vt:lpstr>
      <vt:lpstr>cst_wskakunin_kanri2_DOC</vt:lpstr>
      <vt:lpstr>cst_wskakunin_kanri2_JIMU</vt:lpstr>
      <vt:lpstr>cst_wskakunin_kanri2_JIMU_NAME</vt:lpstr>
      <vt:lpstr>cst_wskakunin_kanri2_JIMU_NO</vt:lpstr>
      <vt:lpstr>cst_wskakunin_kanri2_JIMU_SIKAKU</vt:lpstr>
      <vt:lpstr>cst_wskakunin_kanri2_JIMU_TOUROKU_KIKAN</vt:lpstr>
      <vt:lpstr>cst_wskakunin_kanri2_KENTIKUSI_NO</vt:lpstr>
      <vt:lpstr>cst_wskakunin_kanri2_NAME</vt:lpstr>
      <vt:lpstr>cst_wskakunin_kanri2_SIKAKU</vt:lpstr>
      <vt:lpstr>cst_wskakunin_kanri2_TEL</vt:lpstr>
      <vt:lpstr>cst_wskakunin_kanri2_TOUROKU_KIKAN</vt:lpstr>
      <vt:lpstr>cst_wskakunin_kanri2_ZIP</vt:lpstr>
      <vt:lpstr>cst_wskakunin_kanri3__address</vt:lpstr>
      <vt:lpstr>cst_wskakunin_kanri3__sikaku</vt:lpstr>
      <vt:lpstr>cst_wskakunin_kanri3_DOC</vt:lpstr>
      <vt:lpstr>cst_wskakunin_kanri3_JIMU__sikaku</vt:lpstr>
      <vt:lpstr>cst_wskakunin_kanri3_JIMU_NAME</vt:lpstr>
      <vt:lpstr>cst_wskakunin_kanri3_JIMU_NO</vt:lpstr>
      <vt:lpstr>cst_wskakunin_kanri3_JIMU_SIKAKU</vt:lpstr>
      <vt:lpstr>cst_wskakunin_kanri3_JIMU_TOUROKU_KIKAN</vt:lpstr>
      <vt:lpstr>cst_wskakunin_kanri3_KENTIKUSI_NO</vt:lpstr>
      <vt:lpstr>cst_wskakunin_kanri3_NAME</vt:lpstr>
      <vt:lpstr>cst_wskakunin_kanri3_SIKAKU</vt:lpstr>
      <vt:lpstr>cst_wskakunin_kanri3_TEL</vt:lpstr>
      <vt:lpstr>cst_wskakunin_kanri3_TOUROKU_KIKAN</vt:lpstr>
      <vt:lpstr>cst_wskakunin_kanri3_ZIP</vt:lpstr>
      <vt:lpstr>cst_wskakunin_kanri4__address</vt:lpstr>
      <vt:lpstr>cst_wskakunin_kanri4__sikaku</vt:lpstr>
      <vt:lpstr>cst_wskakunin_kanri4_DOC</vt:lpstr>
      <vt:lpstr>cst_wskakunin_kanri4_JIMU__sikaku</vt:lpstr>
      <vt:lpstr>cst_wskakunin_kanri4_JIMU_NAME</vt:lpstr>
      <vt:lpstr>cst_wskakunin_kanri4_JIMU_NO</vt:lpstr>
      <vt:lpstr>cst_wskakunin_kanri4_JIMU_SIKAKU</vt:lpstr>
      <vt:lpstr>cst_wskakunin_kanri4_JIMU_TOUROKU_KIKAN</vt:lpstr>
      <vt:lpstr>cst_wskakunin_kanri4_KENTIKUSI_NO</vt:lpstr>
      <vt:lpstr>cst_wskakunin_kanri4_NAME</vt:lpstr>
      <vt:lpstr>cst_wskakunin_kanri4_SIKAKU</vt:lpstr>
      <vt:lpstr>cst_wskakunin_kanri4_TEL</vt:lpstr>
      <vt:lpstr>cst_wskakunin_kanri4_TOUROKU_KIKAN</vt:lpstr>
      <vt:lpstr>cst_wskakunin_kanri4_ZIP</vt:lpstr>
      <vt:lpstr>cst_wskakunin_kanri5__address</vt:lpstr>
      <vt:lpstr>cst_wskakunin_kanri5__sikaku</vt:lpstr>
      <vt:lpstr>cst_wskakunin_kanri5_DOC</vt:lpstr>
      <vt:lpstr>cst_wskakunin_kanri5_JIMU__sikaku</vt:lpstr>
      <vt:lpstr>cst_wskakunin_kanri5_JIMU_NAME</vt:lpstr>
      <vt:lpstr>cst_wskakunin_kanri5_JIMU_NO</vt:lpstr>
      <vt:lpstr>cst_wskakunin_kanri5_JIMU_SIKAKU</vt:lpstr>
      <vt:lpstr>cst_wskakunin_kanri5_JIMU_TOUROKU_KIKAN</vt:lpstr>
      <vt:lpstr>cst_wskakunin_kanri5_KENTIKUSI_NO</vt:lpstr>
      <vt:lpstr>cst_wskakunin_kanri5_NAME</vt:lpstr>
      <vt:lpstr>cst_wskakunin_kanri5_SIKAKU</vt:lpstr>
      <vt:lpstr>cst_wskakunin_kanri5_TEL</vt:lpstr>
      <vt:lpstr>cst_wskakunin_kanri5_TOUROKU_KIKAN</vt:lpstr>
      <vt:lpstr>cst_wskakunin_kanri5_ZIP</vt:lpstr>
      <vt:lpstr>cst_wskakunin_kanri6__address</vt:lpstr>
      <vt:lpstr>cst_wskakunin_kanri6__sikaku</vt:lpstr>
      <vt:lpstr>cst_wskakunin_kanri6_DOC</vt:lpstr>
      <vt:lpstr>cst_wskakunin_kanri6_JIMU__sikaku</vt:lpstr>
      <vt:lpstr>cst_wskakunin_kanri6_JIMU_NAME</vt:lpstr>
      <vt:lpstr>cst_wskakunin_kanri6_JIMU_NO</vt:lpstr>
      <vt:lpstr>cst_wskakunin_kanri6_JIMU_SIKAKU</vt:lpstr>
      <vt:lpstr>cst_wskakunin_kanri6_JIMU_TOUROKU_KIKAN</vt:lpstr>
      <vt:lpstr>cst_wskakunin_kanri6_KENTIKUSI_NO</vt:lpstr>
      <vt:lpstr>cst_wskakunin_kanri6_NAME</vt:lpstr>
      <vt:lpstr>cst_wskakunin_kanri6_SIKAKU</vt:lpstr>
      <vt:lpstr>cst_wskakunin_kanri6_TEL</vt:lpstr>
      <vt:lpstr>cst_wskakunin_kanri6_TOUROKU_KIKAN</vt:lpstr>
      <vt:lpstr>cst_wskakunin_kanri6_ZIP</vt:lpstr>
      <vt:lpstr>cst_wskakunin_kanri7__address</vt:lpstr>
      <vt:lpstr>cst_wskakunin_kanri7__sikaku</vt:lpstr>
      <vt:lpstr>cst_wskakunin_kanri7_DOC</vt:lpstr>
      <vt:lpstr>cst_wskakunin_kanri7_JIMU__sikaku</vt:lpstr>
      <vt:lpstr>cst_wskakunin_kanri7_JIMU_NAME</vt:lpstr>
      <vt:lpstr>cst_wskakunin_kanri7_JIMU_NO</vt:lpstr>
      <vt:lpstr>cst_wskakunin_kanri7_JIMU_SIKAKU</vt:lpstr>
      <vt:lpstr>cst_wskakunin_kanri7_JIMU_TOUROKU_KIKAN</vt:lpstr>
      <vt:lpstr>cst_wskakunin_kanri7_KENTIKUSI_NO</vt:lpstr>
      <vt:lpstr>cst_wskakunin_kanri7_NAME</vt:lpstr>
      <vt:lpstr>cst_wskakunin_kanri7_SIKAKU</vt:lpstr>
      <vt:lpstr>cst_wskakunin_kanri7_TEL</vt:lpstr>
      <vt:lpstr>cst_wskakunin_kanri7_TOUROKU_KIKAN</vt:lpstr>
      <vt:lpstr>cst_wskakunin_kanri7_ZIP</vt:lpstr>
      <vt:lpstr>cst_wskakunin_kanri8__address</vt:lpstr>
      <vt:lpstr>cst_wskakunin_kanri8__sikaku</vt:lpstr>
      <vt:lpstr>cst_wskakunin_kanri8_DOC</vt:lpstr>
      <vt:lpstr>cst_wskakunin_kanri8_JIMU__sikaku</vt:lpstr>
      <vt:lpstr>cst_wskakunin_kanri8_JIMU_NAME</vt:lpstr>
      <vt:lpstr>cst_wskakunin_kanri8_JIMU_NO</vt:lpstr>
      <vt:lpstr>cst_wskakunin_kanri8_JIMU_SIKAKU</vt:lpstr>
      <vt:lpstr>cst_wskakunin_kanri8_JIMU_TOUROKU_KIKAN</vt:lpstr>
      <vt:lpstr>cst_wskakunin_kanri8_KENTIKUSI_NO</vt:lpstr>
      <vt:lpstr>cst_wskakunin_kanri8_NAME</vt:lpstr>
      <vt:lpstr>cst_wskakunin_kanri8_SIKAKU</vt:lpstr>
      <vt:lpstr>cst_wskakunin_kanri8_TEL</vt:lpstr>
      <vt:lpstr>cst_wskakunin_kanri8_TOUROKU_KIKAN</vt:lpstr>
      <vt:lpstr>cst_wskakunin_kanri8_ZIP</vt:lpstr>
      <vt:lpstr>cst_wskakunin_kanri9__address</vt:lpstr>
      <vt:lpstr>cst_wskakunin_kanri9__sikaku</vt:lpstr>
      <vt:lpstr>cst_wskakunin_kanri9_DOC</vt:lpstr>
      <vt:lpstr>cst_wskakunin_kanri9_JIMU__sikaku</vt:lpstr>
      <vt:lpstr>cst_wskakunin_kanri9_JIMU_NAME</vt:lpstr>
      <vt:lpstr>cst_wskakunin_kanri9_JIMU_NO</vt:lpstr>
      <vt:lpstr>cst_wskakunin_kanri9_JIMU_SIKAKU</vt:lpstr>
      <vt:lpstr>cst_wskakunin_kanri9_JIMU_TOUROKU_KIKAN</vt:lpstr>
      <vt:lpstr>cst_wskakunin_kanri9_KENTIKUSI_NO</vt:lpstr>
      <vt:lpstr>cst_wskakunin_kanri9_NAME</vt:lpstr>
      <vt:lpstr>cst_wskakunin_kanri9_SIKAKU</vt:lpstr>
      <vt:lpstr>cst_wskakunin_kanri9_TEL</vt:lpstr>
      <vt:lpstr>cst_wskakunin_kanri9_TOUROKU_KIKAN</vt:lpstr>
      <vt:lpstr>cst_wskakunin_kanri9_ZIP</vt:lpstr>
      <vt:lpstr>cst_wskakunin_keibi_henkou01_HENKOU_GAIYOU</vt:lpstr>
      <vt:lpstr>cst_wskakunin_keibi_henkou01_HENKOU_SYURUI</vt:lpstr>
      <vt:lpstr>cst_wskakunin_KENPEI_RITU</vt:lpstr>
      <vt:lpstr>cst_wskakunin_KENPEI_RITU_A</vt:lpstr>
      <vt:lpstr>cst_wskakunin_KENPEI_RITU_B</vt:lpstr>
      <vt:lpstr>cst_wskakunin_KENPEI_RITU_C</vt:lpstr>
      <vt:lpstr>cst_wskakunin_KENPEI_RITU_D</vt:lpstr>
      <vt:lpstr>cst_wskakunin_KENSA_YUKA_MENSEKI_select</vt:lpstr>
      <vt:lpstr>cst_wskakunin_KENTIKU_MENSEKI_IGAI</vt:lpstr>
      <vt:lpstr>cst_wskakunin_KENTIKU_MENSEKI_SHINSEI</vt:lpstr>
      <vt:lpstr>cst_wskakunin_KENTIKU_MENSEKI_TOTAL</vt:lpstr>
      <vt:lpstr>cst_wskakunin_KENTIKU_MENSEKI_ZENTAI_IGAI</vt:lpstr>
      <vt:lpstr>cst_wskakunin_KENTIKU_MENSEKI_ZENTAI_SHINSEI</vt:lpstr>
      <vt:lpstr>cst_wskakunin_KENTIKU_MENSEKI_ZENTAI_TOTAL</vt:lpstr>
      <vt:lpstr>cst_wskakunin_KENTIKU_NINSYO_NO</vt:lpstr>
      <vt:lpstr>cst_wskakunin_KIKAN_NAME</vt:lpstr>
      <vt:lpstr>cst_wskakunin_KITEI_CHOUSA_FLAG</vt:lpstr>
      <vt:lpstr>cst_wskakunin_KITEI_CHOUSA_FLAG_box_off</vt:lpstr>
      <vt:lpstr>cst_wskakunin_KITEI_CHOUSA_FLAG_box_on</vt:lpstr>
      <vt:lpstr>cst_wskakunin_KOUJI_DAI_MOYOUGAE_box</vt:lpstr>
      <vt:lpstr>cst_wskakunin_KOUJI_DAI_SYUUZEN_box</vt:lpstr>
      <vt:lpstr>cst_wskakunin_KOUJI_ITEN_box</vt:lpstr>
      <vt:lpstr>cst_wskakunin_KOUJI_KAITIKU_box</vt:lpstr>
      <vt:lpstr>cst_wskakunin_KOUJI_KANRYOU_DATE_select</vt:lpstr>
      <vt:lpstr>cst_wskakunin_KOUJI_KANRYOU_YOTEI_DATE</vt:lpstr>
      <vt:lpstr>cst_wskakunin_KOUJI_KANRYOU_YOTEI_DATE_select</vt:lpstr>
      <vt:lpstr>cst_wskakunin_KOUJI_SETUBI_box</vt:lpstr>
      <vt:lpstr>cst_wskakunin_KOUJI_SINTIKU_box</vt:lpstr>
      <vt:lpstr>cst_wskakunin_KOUJI_TYAKUSYU_DATE_select</vt:lpstr>
      <vt:lpstr>cst_wskakunin_KOUJI_TYAKUSYU_YOTEI_DATE</vt:lpstr>
      <vt:lpstr>cst_wskakunin_KOUJI_YOUTOHENKOU_box</vt:lpstr>
      <vt:lpstr>cst_wskakunin_KOUJI_ZOUTIKU_box</vt:lpstr>
      <vt:lpstr>cst_wskakunin_koutei_ikou01_KOUTEI_DATE</vt:lpstr>
      <vt:lpstr>cst_wskakunin_koutei_ikou01_KOUTEI_DATE_inter1</vt:lpstr>
      <vt:lpstr>cst_wskakunin_koutei_ikou01_KOUTEI_DATE_inter2</vt:lpstr>
      <vt:lpstr>cst_wskakunin_koutei_ikou01_KOUTEI_KAISUU</vt:lpstr>
      <vt:lpstr>cst_wskakunin_koutei_ikou01_KOUTEI_KAISUU_inter1</vt:lpstr>
      <vt:lpstr>cst_wskakunin_koutei_ikou01_KOUTEI_KAISUU_inter2</vt:lpstr>
      <vt:lpstr>cst_wskakunin_koutei_ikou01_KOUTEI_TEXT</vt:lpstr>
      <vt:lpstr>cst_wskakunin_koutei_ikou01_KOUTEI_TEXT_inter1</vt:lpstr>
      <vt:lpstr>cst_wskakunin_koutei_ikou01_KOUTEI_TEXT_inter2</vt:lpstr>
      <vt:lpstr>cst_wskakunin_koutei_ikou02_KOUTEI_DATE</vt:lpstr>
      <vt:lpstr>cst_wskakunin_koutei_ikou02_KOUTEI_DATE_inter1</vt:lpstr>
      <vt:lpstr>cst_wskakunin_koutei_ikou02_KOUTEI_DATE_inter2</vt:lpstr>
      <vt:lpstr>cst_wskakunin_koutei_ikou02_KOUTEI_KAISUU</vt:lpstr>
      <vt:lpstr>cst_wskakunin_koutei_ikou02_KOUTEI_KAISUU_inter1</vt:lpstr>
      <vt:lpstr>cst_wskakunin_koutei_ikou02_KOUTEI_KAISUU_inter2</vt:lpstr>
      <vt:lpstr>cst_wskakunin_koutei_ikou02_KOUTEI_TEXT</vt:lpstr>
      <vt:lpstr>cst_wskakunin_koutei_ikou02_KOUTEI_TEXT_inter1</vt:lpstr>
      <vt:lpstr>cst_wskakunin_koutei_ikou02_KOUTEI_TEXT_inter2</vt:lpstr>
      <vt:lpstr>cst_wskakunin_koutei_izen01_INTER_ISSUE_DATE</vt:lpstr>
      <vt:lpstr>cst_wskakunin_koutei_izen01_INTER_ISSUE_DATE_inter1</vt:lpstr>
      <vt:lpstr>cst_wskakunin_koutei_izen01_INTER_ISSUE_DATE_inter2</vt:lpstr>
      <vt:lpstr>cst_wskakunin_koutei_izen01_INTER_ISSUE_NAME</vt:lpstr>
      <vt:lpstr>cst_wskakunin_koutei_izen01_INTER_ISSUE_NAME_inter1</vt:lpstr>
      <vt:lpstr>cst_wskakunin_koutei_izen01_INTER_ISSUE_NAME_inter2</vt:lpstr>
      <vt:lpstr>cst_wskakunin_koutei_izen01_INTER_ISSUE_NO</vt:lpstr>
      <vt:lpstr>cst_wskakunin_koutei_izen01_INTER_ISSUE_NO_inter1</vt:lpstr>
      <vt:lpstr>cst_wskakunin_koutei_izen01_INTER_ISSUE_NO_inter2</vt:lpstr>
      <vt:lpstr>cst_wskakunin_koutei_izen01_KOUTEI_KAISUU</vt:lpstr>
      <vt:lpstr>cst_wskakunin_koutei_izen01_KOUTEI_KAISUU_inter1</vt:lpstr>
      <vt:lpstr>cst_wskakunin_koutei_izen01_KOUTEI_KAISUU_inter2</vt:lpstr>
      <vt:lpstr>cst_wskakunin_koutei_izen01_KOUTEI_TEXT</vt:lpstr>
      <vt:lpstr>cst_wskakunin_koutei_izen01_KOUTEI_TEXT_inter1</vt:lpstr>
      <vt:lpstr>cst_wskakunin_koutei_izen01_KOUTEI_TEXT_inter2</vt:lpstr>
      <vt:lpstr>cst_wskakunin_koutei_izen02_INTER_ISSUE_DATE</vt:lpstr>
      <vt:lpstr>cst_wskakunin_koutei_izen02_INTER_ISSUE_DATE_inter1</vt:lpstr>
      <vt:lpstr>cst_wskakunin_koutei_izen02_INTER_ISSUE_DATE_inter2</vt:lpstr>
      <vt:lpstr>cst_wskakunin_koutei_izen02_INTER_ISSUE_NAME</vt:lpstr>
      <vt:lpstr>cst_wskakunin_koutei_izen02_INTER_ISSUE_NAME_inter1</vt:lpstr>
      <vt:lpstr>cst_wskakunin_koutei_izen02_INTER_ISSUE_NAME_inter2</vt:lpstr>
      <vt:lpstr>cst_wskakunin_koutei_izen02_INTER_ISSUE_NO</vt:lpstr>
      <vt:lpstr>cst_wskakunin_koutei_izen02_INTER_ISSUE_NO_inter1</vt:lpstr>
      <vt:lpstr>cst_wskakunin_koutei_izen02_INTER_ISSUE_NO_inter2</vt:lpstr>
      <vt:lpstr>cst_wskakunin_koutei_izen02_KOUTEI_KAISUU</vt:lpstr>
      <vt:lpstr>cst_wskakunin_koutei_izen02_KOUTEI_KAISUU_inter1</vt:lpstr>
      <vt:lpstr>cst_wskakunin_koutei_izen02_KOUTEI_KAISUU_inter2</vt:lpstr>
      <vt:lpstr>cst_wskakunin_koutei_izen02_KOUTEI_TEXT</vt:lpstr>
      <vt:lpstr>cst_wskakunin_koutei_izen02_KOUTEI_TEXT_inter1</vt:lpstr>
      <vt:lpstr>cst_wskakunin_koutei_izen02_KOUTEI_TEXT_inter2</vt:lpstr>
      <vt:lpstr>cst_wskakunin_koutei_izen03_INTER_ISSUE_DATE</vt:lpstr>
      <vt:lpstr>cst_wskakunin_koutei_izen03_INTER_ISSUE_NAME</vt:lpstr>
      <vt:lpstr>cst_wskakunin_koutei_izen03_INTER_ISSUE_NO</vt:lpstr>
      <vt:lpstr>cst_wskakunin_koutei_izen03_KOUTEI_KAISUU</vt:lpstr>
      <vt:lpstr>cst_wskakunin_koutei_izen03_KOUTEI_TEXT</vt:lpstr>
      <vt:lpstr>cst_wskakunin_koutei_izen04_INTER_ISSUE_DATE</vt:lpstr>
      <vt:lpstr>cst_wskakunin_koutei_izen04_INTER_ISSUE_NAME</vt:lpstr>
      <vt:lpstr>cst_wskakunin_koutei_izen04_INTER_ISSUE_NO</vt:lpstr>
      <vt:lpstr>cst_wskakunin_koutei_izen04_KOUTEI_KAISUU</vt:lpstr>
      <vt:lpstr>cst_wskakunin_koutei_izen04_KOUTEI_TEXT</vt:lpstr>
      <vt:lpstr>cst_wskakunin_koutei_keika01_INTER_ISSUE_DATE_select</vt:lpstr>
      <vt:lpstr>cst_wskakunin_koutei_keika01_INTER_ISSUE_NAME_select</vt:lpstr>
      <vt:lpstr>cst_wskakunin_koutei_keika01_INTER_ISSUE_NO_select</vt:lpstr>
      <vt:lpstr>cst_wskakunin_koutei_keika01_KOUTEI_KAISUU_select</vt:lpstr>
      <vt:lpstr>cst_wskakunin_koutei_keika01_KOUTEI_TEXT_select</vt:lpstr>
      <vt:lpstr>cst_wskakunin_koutei_keika02_INTER_ISSUE_DATE_select</vt:lpstr>
      <vt:lpstr>cst_wskakunin_koutei_keika02_INTER_ISSUE_NAME_select</vt:lpstr>
      <vt:lpstr>cst_wskakunin_koutei_keika02_INTER_ISSUE_NO_select</vt:lpstr>
      <vt:lpstr>cst_wskakunin_koutei_keika02_KOUTEI_KAISUU_select</vt:lpstr>
      <vt:lpstr>cst_wskakunin_koutei_keika02_KOUTEI_TEXT_select</vt:lpstr>
      <vt:lpstr>cst_wskakunin_koutei01_INTER_ISSUE_DATE</vt:lpstr>
      <vt:lpstr>cst_wskakunin_koutei01_INTER_ISSUE_NAME</vt:lpstr>
      <vt:lpstr>cst_wskakunin_koutei01_INTER_ISSUE_NO</vt:lpstr>
      <vt:lpstr>cst_wskakunin_koutei01_KOUTEI_DATE</vt:lpstr>
      <vt:lpstr>cst_wskakunin_koutei01_KOUTEI_KAISUU</vt:lpstr>
      <vt:lpstr>cst_wskakunin_koutei01_KOUTEI_TEXT</vt:lpstr>
      <vt:lpstr>cst_wskakunin_koutei02_INTER_ISSUE_DATE</vt:lpstr>
      <vt:lpstr>cst_wskakunin_koutei02_INTER_ISSUE_NAME</vt:lpstr>
      <vt:lpstr>cst_wskakunin_koutei02_INTER_ISSUE_NO</vt:lpstr>
      <vt:lpstr>cst_wskakunin_koutei02_KOUTEI_DATE</vt:lpstr>
      <vt:lpstr>cst_wskakunin_koutei02_KOUTEI_KAISUU</vt:lpstr>
      <vt:lpstr>cst_wskakunin_koutei02_KOUTEI_TEXT</vt:lpstr>
      <vt:lpstr>cst_wskakunin_koutei03_KOUTEI_DATE</vt:lpstr>
      <vt:lpstr>cst_wskakunin_koutei03_KOUTEI_KAISUU</vt:lpstr>
      <vt:lpstr>cst_wskakunin_koutei03_KOUTEI_TEXT</vt:lpstr>
      <vt:lpstr>cst_wskakunin_koutei04_KOUTEI_DATE</vt:lpstr>
      <vt:lpstr>cst_wskakunin_koutei04_KOUTEI_KAISUU</vt:lpstr>
      <vt:lpstr>cst_wskakunin_koutei04_KOUTEI_TEXT</vt:lpstr>
      <vt:lpstr>cst_wskakunin_KOUZOU</vt:lpstr>
      <vt:lpstr>cst_wskakunin_KOUZOU_mokuzou</vt:lpstr>
      <vt:lpstr>cst_wskakunin_KOUZOU_zairai</vt:lpstr>
      <vt:lpstr>cst_wskakunin_KOUZOU1</vt:lpstr>
      <vt:lpstr>cst_wskakunin_KOUZOU2</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cst_wskakunin_kyoka_HOUREI_all</vt:lpstr>
      <vt:lpstr>cst_wskakunin_kyoka01_BIKOU</vt:lpstr>
      <vt:lpstr>cst_wskakunin_kyoka01_HOUREI</vt:lpstr>
      <vt:lpstr>cst_wskakunin_kyoka01_JOUKOU</vt:lpstr>
      <vt:lpstr>cst_wskakunin_kyoka01_KYOKA_DATE</vt:lpstr>
      <vt:lpstr>cst_wskakunin_kyoka01_KYOKA_NO</vt:lpstr>
      <vt:lpstr>cst_wskakunin_kyoka02_BIKOU</vt:lpstr>
      <vt:lpstr>cst_wskakunin_kyoka02_HOUREI</vt:lpstr>
      <vt:lpstr>cst_wskakunin_kyoka02_JOUKOU</vt:lpstr>
      <vt:lpstr>cst_wskakunin_kyoka02_KYOKA_DATE</vt:lpstr>
      <vt:lpstr>cst_wskakunin_kyoka02_KYOKA_NO</vt:lpstr>
      <vt:lpstr>cst_wskakunin_kyoka03_BIKOU</vt:lpstr>
      <vt:lpstr>cst_wskakunin_kyoka03_HOUREI</vt:lpstr>
      <vt:lpstr>cst_wskakunin_kyoka03_JOUKOU</vt:lpstr>
      <vt:lpstr>cst_wskakunin_kyoka03_KYOKA_DATE</vt:lpstr>
      <vt:lpstr>cst_wskakunin_kyoka03_KYOKA_NO</vt:lpstr>
      <vt:lpstr>cst_wskakunin_LAST_ISSUE_DATE</vt:lpstr>
      <vt:lpstr>cst_wskakunin_LAST_ISSUE_NAME</vt:lpstr>
      <vt:lpstr>cst_wskakunin_LAST_ISSUE_NO</vt:lpstr>
      <vt:lpstr>cst_wskakunin_LIMIT_KENPEI_RITU</vt:lpstr>
      <vt:lpstr>cst_wskakunin_LIMIT_YOUSEKI_RITU</vt:lpstr>
      <vt:lpstr>cst_wskakunin_NOBE_MENSEKI</vt:lpstr>
      <vt:lpstr>cst_wskakunin_NOBE_MENSEKI_BITIKUSOUKO_IGAI</vt:lpstr>
      <vt:lpstr>cst_wskakunin_NOBE_MENSEKI_BITIKUSOUKO_SHINSEI</vt:lpstr>
      <vt:lpstr>cst_wskakunin_NOBE_MENSEKI_BITIKUSOUKO_TOTAL</vt:lpstr>
      <vt:lpstr>cst_wskakunin_NOBE_MENSEKI_BUILD_IGAI</vt:lpstr>
      <vt:lpstr>cst_wskakunin_NOBE_MENSEKI_BUILD_SHINSEI</vt:lpstr>
      <vt:lpstr>cst_wskakunin_NOBE_MENSEKI_BUILD_TOTAL</vt:lpstr>
      <vt:lpstr>cst_wskakunin_NOBE_MENSEKI_CHOSUISOU_IGAI</vt:lpstr>
      <vt:lpstr>cst_wskakunin_NOBE_MENSEKI_CHOSUISOU_SHINSEI</vt:lpstr>
      <vt:lpstr>cst_wskakunin_NOBE_MENSEKI_CHOSUISOU_TOTAL</vt:lpstr>
      <vt:lpstr>cst_wskakunin_NOBE_MENSEKI_FUSANNYU_IGAI</vt:lpstr>
      <vt:lpstr>cst_wskakunin_NOBE_MENSEKI_FUSANNYU_SHINSEI</vt:lpstr>
      <vt:lpstr>cst_wskakunin_NOBE_MENSEKI_FUSANNYU_TOTAL</vt:lpstr>
      <vt:lpstr>cst_wskakunin_NOBE_MENSEKI_JIKAHATUDEN_IGAI</vt:lpstr>
      <vt:lpstr>cst_wskakunin_NOBE_MENSEKI_JIKAHATUDEN_SHINSEI</vt:lpstr>
      <vt:lpstr>cst_wskakunin_NOBE_MENSEKI_JIKAHATUDEN_TOTAL</vt:lpstr>
      <vt:lpstr>cst_wskakunin_NOBE_MENSEKI_JYUTAKU_IGAI</vt:lpstr>
      <vt:lpstr>cst_wskakunin_NOBE_MENSEKI_JYUTAKU_SHINSEI</vt:lpstr>
      <vt:lpstr>cst_wskakunin_NOBE_MENSEKI_JYUTAKU_TOTAL</vt:lpstr>
      <vt:lpstr>cst_wskakunin_NOBE_MENSEKI_KIKAI_IGAI</vt:lpstr>
      <vt:lpstr>cst_wskakunin_NOBE_MENSEKI_KIKAI_SHINSEI</vt:lpstr>
      <vt:lpstr>cst_wskakunin_NOBE_MENSEKI_KIKAI_TOTAL</vt:lpstr>
      <vt:lpstr>cst_wskakunin_NOBE_MENSEKI_KYOYOU_IGAI</vt:lpstr>
      <vt:lpstr>cst_wskakunin_NOBE_MENSEKI_KYOYOU_SHINSEI</vt:lpstr>
      <vt:lpstr>cst_wskakunin_NOBE_MENSEKI_KYOYOU_TOTAL</vt:lpstr>
      <vt:lpstr>cst_wskakunin_NOBE_MENSEKI_ROUJIN_IGAI</vt:lpstr>
      <vt:lpstr>cst_wskakunin_NOBE_MENSEKI_ROUJIN_SHINSEI</vt:lpstr>
      <vt:lpstr>cst_wskakunin_NOBE_MENSEKI_ROUJIN_TOTAL</vt:lpstr>
      <vt:lpstr>cst_wskakunin_NOBE_MENSEKI_SYAKO_IGAI</vt:lpstr>
      <vt:lpstr>cst_wskakunin_NOBE_MENSEKI_SYAKO_SHINSEI</vt:lpstr>
      <vt:lpstr>cst_wskakunin_NOBE_MENSEKI_SYAKO_TOTAL</vt:lpstr>
      <vt:lpstr>cst_wskakunin_NOBE_MENSEKI_SYOUKOURO_IGAI</vt:lpstr>
      <vt:lpstr>cst_wskakunin_NOBE_MENSEKI_SYOUKOURO_SHINSEI</vt:lpstr>
      <vt:lpstr>cst_wskakunin_NOBE_MENSEKI_SYOUKOURO_TOTAL</vt:lpstr>
      <vt:lpstr>cst_wskakunin_NOBE_MENSEKI_TAKUHAI_IGAI</vt:lpstr>
      <vt:lpstr>cst_wskakunin_NOBE_MENSEKI_TAKUHAI_SHINSEI</vt:lpstr>
      <vt:lpstr>cst_wskakunin_NOBE_MENSEKI_TAKUHAI_TOTAL</vt:lpstr>
      <vt:lpstr>cst_wskakunin_NOBE_MENSEKI_TIKAI_IGAI</vt:lpstr>
      <vt:lpstr>cst_wskakunin_NOBE_MENSEKI_TIKAI_SHINSEI</vt:lpstr>
      <vt:lpstr>cst_wskakunin_NOBE_MENSEKI_TIKAI_TOTAL</vt:lpstr>
      <vt:lpstr>cst_wskakunin_NOBE_MENSEKI_TIKUDENTI_IGAI</vt:lpstr>
      <vt:lpstr>cst_wskakunin_NOBE_MENSEKI_TIKUDENTI_SHINSEI</vt:lpstr>
      <vt:lpstr>cst_wskakunin_NOBE_MENSEKI_TIKUDENTI_TOTAL</vt:lpstr>
      <vt:lpstr>cst_wskakunin_owner1__address</vt:lpstr>
      <vt:lpstr>cst_wskakunin_owner1__space</vt:lpstr>
      <vt:lpstr>cst_wskakunin_owner1__space_KANA</vt:lpstr>
      <vt:lpstr>cst_wskakunin_owner1__space_KANA2</vt:lpstr>
      <vt:lpstr>cst_wskakunin_owner1__space2</vt:lpstr>
      <vt:lpstr>cst_wskakunin_owner1__space3</vt:lpstr>
      <vt:lpstr>cst_wskakunin_owner1__space4</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cst_wskakunin_owner1_ZIP2</vt:lpstr>
      <vt:lpstr>cst_wskakunin_owner2__address</vt:lpstr>
      <vt:lpstr>cst_wskakunin_owner2__space</vt:lpstr>
      <vt:lpstr>cst_wskakunin_owner2__space2</vt:lpstr>
      <vt:lpstr>cst_wskakunin_owner2__space3</vt:lpstr>
      <vt:lpstr>cst_wskakunin_owner2_JIMU_NAME</vt:lpstr>
      <vt:lpstr>cst_wskakunin_owner2_JIMU_NAME_KANA</vt:lpstr>
      <vt:lpstr>cst_wskakunin_owner2_NAME</vt:lpstr>
      <vt:lpstr>cst_wskakunin_owner2_NAME_KANA</vt:lpstr>
      <vt:lpstr>cst_wskakunin_owner2_POST</vt:lpstr>
      <vt:lpstr>cst_wskakunin_owner2_POST_KANA</vt:lpstr>
      <vt:lpstr>cst_wskakunin_owner2_TEL</vt:lpstr>
      <vt:lpstr>cst_wskakunin_owner2_ZIP</vt:lpstr>
      <vt:lpstr>cst_wskakunin_owner3__address</vt:lpstr>
      <vt:lpstr>cst_wskakunin_owner3__space</vt:lpstr>
      <vt:lpstr>cst_wskakunin_owner3_JIMU_NAME</vt:lpstr>
      <vt:lpstr>cst_wskakunin_owner3_JIMU_NAME_KANA</vt:lpstr>
      <vt:lpstr>cst_wskakunin_owner3_NAME</vt:lpstr>
      <vt:lpstr>cst_wskakunin_owner3_NAME_KANA</vt:lpstr>
      <vt:lpstr>cst_wskakunin_owner3_POST</vt:lpstr>
      <vt:lpstr>cst_wskakunin_owner3_POST_KANA</vt:lpstr>
      <vt:lpstr>cst_wskakunin_owner3_TEL</vt:lpstr>
      <vt:lpstr>cst_wskakunin_owner3_ZIP</vt:lpstr>
      <vt:lpstr>cst_wskakunin_owner4__address</vt:lpstr>
      <vt:lpstr>cst_wskakunin_owner4__space</vt:lpstr>
      <vt:lpstr>cst_wskakunin_owner4_JIMU_NAME</vt:lpstr>
      <vt:lpstr>cst_wskakunin_owner4_JIMU_NAME_KANA</vt:lpstr>
      <vt:lpstr>cst_wskakunin_owner4_NAME</vt:lpstr>
      <vt:lpstr>cst_wskakunin_owner4_NAME_KANA</vt:lpstr>
      <vt:lpstr>cst_wskakunin_owner4_POST</vt:lpstr>
      <vt:lpstr>cst_wskakunin_owner4_POST_KANA</vt:lpstr>
      <vt:lpstr>cst_wskakunin_owner4_TEL</vt:lpstr>
      <vt:lpstr>cst_wskakunin_owner4_ZIP</vt:lpstr>
      <vt:lpstr>cst_wskakunin_owner5__address</vt:lpstr>
      <vt:lpstr>cst_wskakunin_owner5__space</vt:lpstr>
      <vt:lpstr>cst_wskakunin_owner5_JIMU_NAME</vt:lpstr>
      <vt:lpstr>cst_wskakunin_owner5_JIMU_NAME_KANA</vt:lpstr>
      <vt:lpstr>cst_wskakunin_owner5_NAME</vt:lpstr>
      <vt:lpstr>cst_wskakunin_owner5_NAME_KANA</vt:lpstr>
      <vt:lpstr>cst_wskakunin_owner5_POST</vt:lpstr>
      <vt:lpstr>cst_wskakunin_owner5_POST_KANA</vt:lpstr>
      <vt:lpstr>cst_wskakunin_owner5_TEL</vt:lpstr>
      <vt:lpstr>cst_wskakunin_owner5_ZIP</vt:lpstr>
      <vt:lpstr>cst_wskakunin_owner6__address</vt:lpstr>
      <vt:lpstr>cst_wskakunin_owner6__space2</vt:lpstr>
      <vt:lpstr>cst_wskakunin_owner6__space3</vt:lpstr>
      <vt:lpstr>cst_wskakunin_owner6_JIMU_NAME</vt:lpstr>
      <vt:lpstr>cst_wskakunin_owner6_JIMU_NAME_KANA</vt:lpstr>
      <vt:lpstr>cst_wskakunin_owner6_NAME</vt:lpstr>
      <vt:lpstr>cst_wskakunin_owner6_NAME_KANA</vt:lpstr>
      <vt:lpstr>cst_wskakunin_owner6_POST</vt:lpstr>
      <vt:lpstr>cst_wskakunin_owner6_POST_KANA</vt:lpstr>
      <vt:lpstr>cst_wskakunin_owner6_TEL</vt:lpstr>
      <vt:lpstr>cst_wskakunin_owner6_ZIP</vt:lpstr>
      <vt:lpstr>cst_wskakunin_owner7__address</vt:lpstr>
      <vt:lpstr>cst_wskakunin_owner7_JIMU_NAME</vt:lpstr>
      <vt:lpstr>cst_wskakunin_owner7_JIMU_NAME_KANA</vt:lpstr>
      <vt:lpstr>cst_wskakunin_owner7_NAME</vt:lpstr>
      <vt:lpstr>cst_wskakunin_owner7_NAME_KANA</vt:lpstr>
      <vt:lpstr>cst_wskakunin_owner7_POST</vt:lpstr>
      <vt:lpstr>cst_wskakunin_owner7_POST_KANA</vt:lpstr>
      <vt:lpstr>cst_wskakunin_owner7_TEL</vt:lpstr>
      <vt:lpstr>cst_wskakunin_owner7_ZIP</vt:lpstr>
      <vt:lpstr>cst_wskakunin_owner8__address</vt:lpstr>
      <vt:lpstr>cst_wskakunin_owner8_JIMU_NAME</vt:lpstr>
      <vt:lpstr>cst_wskakunin_owner8_JIMU_NAME_KANA</vt:lpstr>
      <vt:lpstr>cst_wskakunin_owner8_NAME</vt:lpstr>
      <vt:lpstr>cst_wskakunin_owner8_NAME_KANA</vt:lpstr>
      <vt:lpstr>cst_wskakunin_owner8_POST</vt:lpstr>
      <vt:lpstr>cst_wskakunin_owner8_POST_KANA</vt:lpstr>
      <vt:lpstr>cst_wskakunin_owner8_TEL</vt:lpstr>
      <vt:lpstr>cst_wskakunin_owner8_ZIP</vt:lpstr>
      <vt:lpstr>cst_wskakunin_owner9__address</vt:lpstr>
      <vt:lpstr>cst_wskakunin_owner9_JIMU_NAME</vt:lpstr>
      <vt:lpstr>cst_wskakunin_owner9_JIMU_NAME_KANA</vt:lpstr>
      <vt:lpstr>cst_wskakunin_owner9_NAME</vt:lpstr>
      <vt:lpstr>cst_wskakunin_owner9_NAME_KANA</vt:lpstr>
      <vt:lpstr>cst_wskakunin_owner9_POST</vt:lpstr>
      <vt:lpstr>cst_wskakunin_owner9_POST_KANA</vt:lpstr>
      <vt:lpstr>cst_wskakunin_owner9_TEL</vt:lpstr>
      <vt:lpstr>cst_wskakunin_owner9_ZIP</vt:lpstr>
      <vt:lpstr>cst_wskakunin_P1_HENKOU_GAIYOU</vt:lpstr>
      <vt:lpstr>cst_wskakunin_P2_BIKOU</vt:lpstr>
      <vt:lpstr>cst_wskakunin_P3_BIKOU</vt:lpstr>
      <vt:lpstr>cst_wskakunin_P3_SONOTA</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cst_wskakunin_p4_1_YUKA_MENSEKI_SHINSEI</vt:lpstr>
      <vt:lpstr>cst_wskakunin_p4_2_KAISU_TIKAI</vt:lpstr>
      <vt:lpstr>cst_wskakunin_p4_2_KAISU_TIKAI_NOZOKU</vt:lpstr>
      <vt:lpstr>cst_wskakunin_p4_2_YUKA_MENSEKI_SHINSEI</vt:lpstr>
      <vt:lpstr>cst_wskakunin_p4_3_KAISU_TIKAI</vt:lpstr>
      <vt:lpstr>cst_wskakunin_p4_3_KAISU_TIKAI_NOZOKU</vt:lpstr>
      <vt:lpstr>cst_wskakunin_p4_3_YUKA_MENSEKI_SHINSEI</vt:lpstr>
      <vt:lpstr>cst_wskakunin_PAGE1_ALTERATION_NOTE</vt:lpstr>
      <vt:lpstr>cst_wskakunin_sekkei1__address</vt:lpstr>
      <vt:lpstr>cst_wskakunin_sekkei1__sikaku</vt:lpstr>
      <vt:lpstr>cst_wskakunin_sekkei1_DOC</vt:lpstr>
      <vt:lpstr>cst_wskakunin_sekkei1_JIMU__sikaku</vt:lpstr>
      <vt:lpstr>cst_wskakunin_sekkei1_JIMU_NAME</vt:lpstr>
      <vt:lpstr>cst_wskakunin_sekkei1_JIMU_NO</vt:lpstr>
      <vt:lpstr>cst_wskakunin_sekkei1_JIMU_SIKAKU</vt:lpstr>
      <vt:lpstr>cst_wskakunin_sekkei1_JIMU_TOUROKU_KIKAN</vt:lpstr>
      <vt:lpstr>cst_wskakunin_sekkei1_jimuname_name</vt:lpstr>
      <vt:lpstr>cst_wskakunin_sekkei1_KENTIKUSI_NO</vt:lpstr>
      <vt:lpstr>cst_wskakunin_sekkei1_NAME</vt:lpstr>
      <vt:lpstr>cst_wskakunin_sekkei1_SIKAKU</vt:lpstr>
      <vt:lpstr>cst_wskakunin_sekkei1_TEL</vt:lpstr>
      <vt:lpstr>cst_wskakunin_sekkei1_TOUROKU_KIKAN</vt:lpstr>
      <vt:lpstr>cst_wskakunin_sekkei1_ZIP</vt:lpstr>
      <vt:lpstr>cst_wskakunin_sekkei10__address</vt:lpstr>
      <vt:lpstr>cst_wskakunin_sekkei10__sikaku</vt:lpstr>
      <vt:lpstr>cst_wskakunin_sekkei10_DOC</vt:lpstr>
      <vt:lpstr>cst_wskakunin_sekkei10_JIMU__sikaku</vt:lpstr>
      <vt:lpstr>cst_wskakunin_sekkei10_JIMU_NAME</vt:lpstr>
      <vt:lpstr>cst_wskakunin_sekkei10_JIMU_NO</vt:lpstr>
      <vt:lpstr>cst_wskakunin_sekkei10_JIMU_SIKAKU</vt:lpstr>
      <vt:lpstr>cst_wskakunin_sekkei10_JIMU_TOUROKU_KIKAN</vt:lpstr>
      <vt:lpstr>cst_wskakunin_sekkei10_jimuname_name</vt:lpstr>
      <vt:lpstr>cst_wskakunin_sekkei10_KENTIKUSI_NO</vt:lpstr>
      <vt:lpstr>cst_wskakunin_sekkei10_NAME</vt:lpstr>
      <vt:lpstr>cst_wskakunin_sekkei10_SIKAKU</vt:lpstr>
      <vt:lpstr>cst_wskakunin_sekkei10_TEL</vt:lpstr>
      <vt:lpstr>cst_wskakunin_sekkei10_TOUROKU_KIKAN</vt:lpstr>
      <vt:lpstr>cst_wskakunin_sekkei10_ZIP</vt:lpstr>
      <vt:lpstr>cst_wskakunin_sekkei11__address</vt:lpstr>
      <vt:lpstr>cst_wskakunin_sekkei11__sikaku</vt:lpstr>
      <vt:lpstr>cst_wskakunin_sekkei11_DOC</vt:lpstr>
      <vt:lpstr>cst_wskakunin_sekkei11_JIMU__sikaku</vt:lpstr>
      <vt:lpstr>cst_wskakunin_sekkei11_JIMU_NAME</vt:lpstr>
      <vt:lpstr>cst_wskakunin_sekkei11_JIMU_NO</vt:lpstr>
      <vt:lpstr>cst_wskakunin_sekkei11_JIMU_SIKAKU</vt:lpstr>
      <vt:lpstr>cst_wskakunin_sekkei11_JIMU_TOUROKU_KIKAN</vt:lpstr>
      <vt:lpstr>cst_wskakunin_sekkei11_jimuname_name</vt:lpstr>
      <vt:lpstr>cst_wskakunin_sekkei11_KENTIKUSI_NO</vt:lpstr>
      <vt:lpstr>cst_wskakunin_sekkei11_NAME</vt:lpstr>
      <vt:lpstr>cst_wskakunin_sekkei11_SIKAKU</vt:lpstr>
      <vt:lpstr>cst_wskakunin_sekkei11_TEL</vt:lpstr>
      <vt:lpstr>cst_wskakunin_sekkei11_TOUROKU_KIKAN</vt:lpstr>
      <vt:lpstr>cst_wskakunin_sekkei11_ZIP</vt:lpstr>
      <vt:lpstr>cst_wskakunin_sekkei12__address</vt:lpstr>
      <vt:lpstr>cst_wskakunin_sekkei12__sikaku</vt:lpstr>
      <vt:lpstr>cst_wskakunin_sekkei12_DOC</vt:lpstr>
      <vt:lpstr>cst_wskakunin_sekkei12_JIMU__sikaku</vt:lpstr>
      <vt:lpstr>cst_wskakunin_sekkei12_JIMU_NAME</vt:lpstr>
      <vt:lpstr>cst_wskakunin_sekkei12_JIMU_NO</vt:lpstr>
      <vt:lpstr>cst_wskakunin_sekkei12_JIMU_SIKAKU</vt:lpstr>
      <vt:lpstr>cst_wskakunin_sekkei12_JIMU_TOUROKU_KIKAN</vt:lpstr>
      <vt:lpstr>cst_wskakunin_sekkei12_jimuname_name</vt:lpstr>
      <vt:lpstr>cst_wskakunin_sekkei12_KENTIKUSI_NO</vt:lpstr>
      <vt:lpstr>cst_wskakunin_sekkei12_NAME</vt:lpstr>
      <vt:lpstr>cst_wskakunin_sekkei12_SIKAKU</vt:lpstr>
      <vt:lpstr>cst_wskakunin_sekkei12_TEL</vt:lpstr>
      <vt:lpstr>cst_wskakunin_sekkei12_TOUROKU_KIKAN</vt:lpstr>
      <vt:lpstr>cst_wskakunin_sekkei12_ZIP</vt:lpstr>
      <vt:lpstr>cst_wskakunin_sekkei2__address</vt:lpstr>
      <vt:lpstr>cst_wskakunin_sekkei2__sikaku</vt:lpstr>
      <vt:lpstr>cst_wskakunin_sekkei2_DOC</vt:lpstr>
      <vt:lpstr>cst_wskakunin_sekkei2_JIMU__sikaku</vt:lpstr>
      <vt:lpstr>cst_wskakunin_sekkei2_JIMU_NAME</vt:lpstr>
      <vt:lpstr>cst_wskakunin_sekkei2_JIMU_NO</vt:lpstr>
      <vt:lpstr>cst_wskakunin_sekkei2_JIMU_SIKAKU</vt:lpstr>
      <vt:lpstr>cst_wskakunin_sekkei2_JIMU_TOUROKU_KIKAN</vt:lpstr>
      <vt:lpstr>cst_wskakunin_sekkei2_jimuname_name</vt:lpstr>
      <vt:lpstr>cst_wskakunin_sekkei2_KENTIKUSI_NO</vt:lpstr>
      <vt:lpstr>cst_wskakunin_sekkei2_NAME</vt:lpstr>
      <vt:lpstr>cst_wskakunin_sekkei2_SIKAKU</vt:lpstr>
      <vt:lpstr>cst_wskakunin_sekkei2_TEL</vt:lpstr>
      <vt:lpstr>cst_wskakunin_sekkei2_TOUROKU_KIKAN</vt:lpstr>
      <vt:lpstr>cst_wskakunin_sekkei2_ZIP</vt:lpstr>
      <vt:lpstr>cst_wskakunin_sekkei3__address</vt:lpstr>
      <vt:lpstr>cst_wskakunin_sekkei3__sikaku</vt:lpstr>
      <vt:lpstr>cst_wskakunin_sekkei3_DOC</vt:lpstr>
      <vt:lpstr>cst_wskakunin_sekkei3_JIMU__sikaku</vt:lpstr>
      <vt:lpstr>cst_wskakunin_sekkei3_JIMU_NAME</vt:lpstr>
      <vt:lpstr>cst_wskakunin_sekkei3_JIMU_NO</vt:lpstr>
      <vt:lpstr>cst_wskakunin_sekkei3_JIMU_SIKAKU</vt:lpstr>
      <vt:lpstr>cst_wskakunin_sekkei3_JIMU_TOUROKU_KIKAN</vt:lpstr>
      <vt:lpstr>cst_wskakunin_sekkei3_jimuname_name</vt:lpstr>
      <vt:lpstr>cst_wskakunin_sekkei3_KENTIKUSI_NO</vt:lpstr>
      <vt:lpstr>cst_wskakunin_sekkei3_NAME</vt:lpstr>
      <vt:lpstr>cst_wskakunin_sekkei3_SIKAKU</vt:lpstr>
      <vt:lpstr>cst_wskakunin_sekkei3_TEL</vt:lpstr>
      <vt:lpstr>cst_wskakunin_sekkei3_TOUROKU_KIKAN</vt:lpstr>
      <vt:lpstr>cst_wskakunin_sekkei3_ZIP</vt:lpstr>
      <vt:lpstr>cst_wskakunin_sekkei4__address</vt:lpstr>
      <vt:lpstr>cst_wskakunin_sekkei4__sikaku</vt:lpstr>
      <vt:lpstr>cst_wskakunin_sekkei4_DOC</vt:lpstr>
      <vt:lpstr>cst_wskakunin_sekkei4_JIMU__sikaku</vt:lpstr>
      <vt:lpstr>cst_wskakunin_sekkei4_JIMU_NAME</vt:lpstr>
      <vt:lpstr>cst_wskakunin_sekkei4_JIMU_NO</vt:lpstr>
      <vt:lpstr>cst_wskakunin_sekkei4_JIMU_SIKAKU</vt:lpstr>
      <vt:lpstr>cst_wskakunin_sekkei4_JIMU_TOUROKU_KIKAN</vt:lpstr>
      <vt:lpstr>cst_wskakunin_sekkei4_jimuname_name</vt:lpstr>
      <vt:lpstr>cst_wskakunin_sekkei4_KENTIKUSI_NO</vt:lpstr>
      <vt:lpstr>cst_wskakunin_sekkei4_NAME</vt:lpstr>
      <vt:lpstr>cst_wskakunin_sekkei4_SIKAKU</vt:lpstr>
      <vt:lpstr>cst_wskakunin_sekkei4_TEL</vt:lpstr>
      <vt:lpstr>cst_wskakunin_sekkei4_TOUROKU_KIKAN</vt:lpstr>
      <vt:lpstr>cst_wskakunin_sekkei4_ZIP</vt:lpstr>
      <vt:lpstr>cst_wskakunin_sekkei5__address</vt:lpstr>
      <vt:lpstr>cst_wskakunin_sekkei5__sikaku</vt:lpstr>
      <vt:lpstr>cst_wskakunin_sekkei5_DOC</vt:lpstr>
      <vt:lpstr>cst_wskakunin_sekkei5_JIMU__sikaku</vt:lpstr>
      <vt:lpstr>cst_wskakunin_sekkei5_JIMU_NAME</vt:lpstr>
      <vt:lpstr>cst_wskakunin_sekkei5_JIMU_NO</vt:lpstr>
      <vt:lpstr>cst_wskakunin_sekkei5_JIMU_SIKAKU</vt:lpstr>
      <vt:lpstr>cst_wskakunin_sekkei5_JIMU_TOUROKU_KIKAN</vt:lpstr>
      <vt:lpstr>cst_wskakunin_sekkei5_jimuname_name</vt:lpstr>
      <vt:lpstr>cst_wskakunin_sekkei5_KENTIKUSI_NO</vt:lpstr>
      <vt:lpstr>cst_wskakunin_sekkei5_NAME</vt:lpstr>
      <vt:lpstr>cst_wskakunin_sekkei5_SIKAKU</vt:lpstr>
      <vt:lpstr>cst_wskakunin_sekkei5_TEL</vt:lpstr>
      <vt:lpstr>cst_wskakunin_sekkei5_TOUROKU_KIKAN</vt:lpstr>
      <vt:lpstr>cst_wskakunin_sekkei5_ZIP</vt:lpstr>
      <vt:lpstr>cst_wskakunin_sekkei6__address</vt:lpstr>
      <vt:lpstr>cst_wskakunin_sekkei6__sikaku</vt:lpstr>
      <vt:lpstr>cst_wskakunin_sekkei6_DOC</vt:lpstr>
      <vt:lpstr>cst_wskakunin_sekkei6_JIMU__sikaku</vt:lpstr>
      <vt:lpstr>cst_wskakunin_sekkei6_JIMU_NAME</vt:lpstr>
      <vt:lpstr>cst_wskakunin_sekkei6_JIMU_NO</vt:lpstr>
      <vt:lpstr>cst_wskakunin_sekkei6_JIMU_SIKAKU</vt:lpstr>
      <vt:lpstr>cst_wskakunin_sekkei6_JIMU_TOUROKU_KIKAN</vt:lpstr>
      <vt:lpstr>cst_wskakunin_sekkei6_jimuname_name</vt:lpstr>
      <vt:lpstr>cst_wskakunin_sekkei6_KENTIKUSI_NO</vt:lpstr>
      <vt:lpstr>cst_wskakunin_sekkei6_NAME</vt:lpstr>
      <vt:lpstr>cst_wskakunin_sekkei6_SIKAKU</vt:lpstr>
      <vt:lpstr>cst_wskakunin_sekkei6_TEL</vt:lpstr>
      <vt:lpstr>cst_wskakunin_sekkei6_TOUROKU_KIKAN</vt:lpstr>
      <vt:lpstr>cst_wskakunin_sekkei6_ZIP</vt:lpstr>
      <vt:lpstr>cst_wskakunin_sekkei7__address</vt:lpstr>
      <vt:lpstr>cst_wskakunin_sekkei7__sikaku</vt:lpstr>
      <vt:lpstr>cst_wskakunin_sekkei7_DOC</vt:lpstr>
      <vt:lpstr>cst_wskakunin_sekkei7_JIMU__sikaku</vt:lpstr>
      <vt:lpstr>cst_wskakunin_sekkei7_JIMU_NAME</vt:lpstr>
      <vt:lpstr>cst_wskakunin_sekkei7_JIMU_NO</vt:lpstr>
      <vt:lpstr>cst_wskakunin_sekkei7_JIMU_SIKAKU</vt:lpstr>
      <vt:lpstr>cst_wskakunin_sekkei7_JIMU_TOUROKU_KIKAN</vt:lpstr>
      <vt:lpstr>cst_wskakunin_sekkei7_jimuname_name</vt:lpstr>
      <vt:lpstr>cst_wskakunin_sekkei7_KENTIKUSI_NO</vt:lpstr>
      <vt:lpstr>cst_wskakunin_sekkei7_NAME</vt:lpstr>
      <vt:lpstr>cst_wskakunin_sekkei7_SIKAKU</vt:lpstr>
      <vt:lpstr>cst_wskakunin_sekkei7_TEL</vt:lpstr>
      <vt:lpstr>cst_wskakunin_sekkei7_TOUROKU_KIKAN</vt:lpstr>
      <vt:lpstr>cst_wskakunin_sekkei7_ZIP</vt:lpstr>
      <vt:lpstr>cst_wskakunin_sekkei8__address</vt:lpstr>
      <vt:lpstr>cst_wskakunin_sekkei8__sikaku</vt:lpstr>
      <vt:lpstr>cst_wskakunin_sekkei8_DOC</vt:lpstr>
      <vt:lpstr>cst_wskakunin_sekkei8_JIMU__sikaku</vt:lpstr>
      <vt:lpstr>cst_wskakunin_sekkei8_JIMU_NAME</vt:lpstr>
      <vt:lpstr>cst_wskakunin_sekkei8_JIMU_NO</vt:lpstr>
      <vt:lpstr>cst_wskakunin_sekkei8_JIMU_SIKAKU</vt:lpstr>
      <vt:lpstr>cst_wskakunin_sekkei8_JIMU_TOUROKU_KIKAN</vt:lpstr>
      <vt:lpstr>cst_wskakunin_sekkei8_jimuname_name</vt:lpstr>
      <vt:lpstr>cst_wskakunin_sekkei8_KENTIKUSI_NO</vt:lpstr>
      <vt:lpstr>cst_wskakunin_sekkei8_NAME</vt:lpstr>
      <vt:lpstr>cst_wskakunin_sekkei8_SIKAKU</vt:lpstr>
      <vt:lpstr>cst_wskakunin_sekkei8_TEL</vt:lpstr>
      <vt:lpstr>cst_wskakunin_sekkei8_TOUROKU_KIKAN</vt:lpstr>
      <vt:lpstr>cst_wskakunin_sekkei8_ZIP</vt:lpstr>
      <vt:lpstr>cst_wskakunin_sekkei9__address</vt:lpstr>
      <vt:lpstr>cst_wskakunin_sekkei9__sikaku</vt:lpstr>
      <vt:lpstr>cst_wskakunin_sekkei9_DOC</vt:lpstr>
      <vt:lpstr>cst_wskakunin_sekkei9_JIMU__sikaku</vt:lpstr>
      <vt:lpstr>cst_wskakunin_sekkei9_JIMU_NAME</vt:lpstr>
      <vt:lpstr>cst_wskakunin_sekkei9_JIMU_NO</vt:lpstr>
      <vt:lpstr>cst_wskakunin_sekkei9_JIMU_SIKAKU</vt:lpstr>
      <vt:lpstr>cst_wskakunin_sekkei9_JIMU_TOUROKU_KIKAN</vt:lpstr>
      <vt:lpstr>cst_wskakunin_sekkei9_jimuname_name</vt:lpstr>
      <vt:lpstr>cst_wskakunin_sekkei9_KENTIKUSI_NO</vt:lpstr>
      <vt:lpstr>cst_wskakunin_sekkei9_NAME</vt:lpstr>
      <vt:lpstr>cst_wskakunin_sekkei9_SIKAKU</vt:lpstr>
      <vt:lpstr>cst_wskakunin_sekkei9_TEL</vt:lpstr>
      <vt:lpstr>cst_wskakunin_sekkei9_TOUROKU_KIKAN</vt:lpstr>
      <vt:lpstr>cst_wskakunin_sekkei9_ZIP</vt:lpstr>
      <vt:lpstr>cst_wskakunin_sekou1__address</vt:lpstr>
      <vt:lpstr>cst_wskakunin_sekou1__hajime</vt:lpstr>
      <vt:lpstr>cst_wskakunin_sekou1__kistar</vt:lpstr>
      <vt:lpstr>cst_wskakunin_sekou1_JIMU_NAME</vt:lpstr>
      <vt:lpstr>cst_wskakunin_sekou1_kakunin</vt:lpstr>
      <vt:lpstr>cst_wskakunin_sekou1_NAME</vt:lpstr>
      <vt:lpstr>cst_wskakunin_sekou1_SEKOU__sikaku</vt:lpstr>
      <vt:lpstr>cst_wskakunin_sekou1_SEKOU_NO</vt:lpstr>
      <vt:lpstr>cst_wskakunin_sekou1_SEKOU_SIKAKU</vt:lpstr>
      <vt:lpstr>cst_wskakunin_sekou1_TEL</vt:lpstr>
      <vt:lpstr>cst_wskakunin_sekou1_ZIP</vt:lpstr>
      <vt:lpstr>cst_wskakunin_sekou2__address</vt:lpstr>
      <vt:lpstr>cst_wskakunin_sekou2_JIMU_NAME</vt:lpstr>
      <vt:lpstr>cst_wskakunin_sekou2_NAME</vt:lpstr>
      <vt:lpstr>cst_wskakunin_sekou2_SEKOU__sikaku</vt:lpstr>
      <vt:lpstr>cst_wskakunin_sekou2_SEKOU_NO</vt:lpstr>
      <vt:lpstr>cst_wskakunin_sekou2_SEKOU_SIKAKU</vt:lpstr>
      <vt:lpstr>cst_wskakunin_sekou2_TEL</vt:lpstr>
      <vt:lpstr>cst_wskakunin_sekou2_ZIP</vt:lpstr>
      <vt:lpstr>cst_wskakunin_sekou3__address</vt:lpstr>
      <vt:lpstr>cst_wskakunin_sekou3_JIMU_NAME</vt:lpstr>
      <vt:lpstr>cst_wskakunin_sekou3_NAME</vt:lpstr>
      <vt:lpstr>cst_wskakunin_sekou3_SEKOU__sikaku</vt:lpstr>
      <vt:lpstr>cst_wskakunin_sekou3_SEKOU_NO</vt:lpstr>
      <vt:lpstr>cst_wskakunin_sekou3_SEKOU_SIKAKU</vt:lpstr>
      <vt:lpstr>cst_wskakunin_sekou3_TEL</vt:lpstr>
      <vt:lpstr>cst_wskakunin_sekou3_ZIP</vt:lpstr>
      <vt:lpstr>cst_wskakunin_sekou4__address</vt:lpstr>
      <vt:lpstr>cst_wskakunin_sekou4_JIMU_NAME</vt:lpstr>
      <vt:lpstr>cst_wskakunin_sekou4_NAME</vt:lpstr>
      <vt:lpstr>cst_wskakunin_sekou4_SEKOU__sikaku</vt:lpstr>
      <vt:lpstr>cst_wskakunin_sekou4_SEKOU_NO</vt:lpstr>
      <vt:lpstr>cst_wskakunin_sekou4_SEKOU_SIKAKU</vt:lpstr>
      <vt:lpstr>cst_wskakunin_sekou4_TEL</vt:lpstr>
      <vt:lpstr>cst_wskakunin_sekou4_ZIP</vt:lpstr>
      <vt:lpstr>cst_wskakunin_sekou5__address</vt:lpstr>
      <vt:lpstr>cst_wskakunin_sekou5_JIMU_NAME</vt:lpstr>
      <vt:lpstr>cst_wskakunin_sekou5_NAME</vt:lpstr>
      <vt:lpstr>cst_wskakunin_sekou5_SEKOU__sikaku</vt:lpstr>
      <vt:lpstr>cst_wskakunin_sekou5_SEKOU_NO</vt:lpstr>
      <vt:lpstr>cst_wskakunin_sekou5_SEKOU_SIKAKU</vt:lpstr>
      <vt:lpstr>cst_wskakunin_sekou5_TEL</vt:lpstr>
      <vt:lpstr>cst_wskakunin_sekou5_ZIP</vt:lpstr>
      <vt:lpstr>cst_wskakunin_sekou6__address</vt:lpstr>
      <vt:lpstr>cst_wskakunin_sekou6_JIMU_NAME</vt:lpstr>
      <vt:lpstr>cst_wskakunin_sekou6_NAME</vt:lpstr>
      <vt:lpstr>cst_wskakunin_sekou6_SEKOU__sikaku</vt:lpstr>
      <vt:lpstr>cst_wskakunin_sekou6_SEKOU_NO</vt:lpstr>
      <vt:lpstr>cst_wskakunin_sekou6_SEKOU_SIKAKU</vt:lpstr>
      <vt:lpstr>cst_wskakunin_sekou6_TEL</vt:lpstr>
      <vt:lpstr>cst_wskakunin_sekou6_ZIP</vt:lpstr>
      <vt:lpstr>cst_wskakunin_SHIKITI_MENSEKI_1_TOTAL</vt:lpstr>
      <vt:lpstr>cst_wskakunin_SHIKITI_MENSEKI_1A</vt:lpstr>
      <vt:lpstr>cst_wskakunin_SHIKITI_MENSEKI_1B</vt:lpstr>
      <vt:lpstr>cst_wskakunin_SHIKITI_MENSEKI_1C</vt:lpstr>
      <vt:lpstr>cst_wskakunin_SHIKITI_MENSEKI_1D</vt:lpstr>
      <vt:lpstr>cst_wskakunin_SHIKITI_MENSEKI_2_TOTAL</vt:lpstr>
      <vt:lpstr>cst_wskakunin_SHIKITI_MENSEKI_2A</vt:lpstr>
      <vt:lpstr>cst_wskakunin_SHIKITI_MENSEKI_2B</vt:lpstr>
      <vt:lpstr>cst_wskakunin_SHIKITI_MENSEKI_2C</vt:lpstr>
      <vt:lpstr>cst_wskakunin_SHIKITI_MENSEKI_2D</vt:lpstr>
      <vt:lpstr>cst_wskakunin_SHIKITI_MENSEKI_BIKOU</vt:lpstr>
      <vt:lpstr>cst_wskakunin_SHINSEI_DATE</vt:lpstr>
      <vt:lpstr>cst_wskakunin_TAKASA_MAX_SHINSEI</vt:lpstr>
      <vt:lpstr>cst_wskakunin_TAKASA_MAX_SONOTA</vt:lpstr>
      <vt:lpstr>cst_wskakunin_tekihan01_TEKIHAN_KIKAN_ADDRESS</vt:lpstr>
      <vt:lpstr>cst_wskakunin_tekihan01_TEKIHAN_KIKAN_info</vt:lpstr>
      <vt:lpstr>cst_wskakunin_tekihan01_TEKIHAN_KIKAN_KEN__ken</vt:lpstr>
      <vt:lpstr>cst_wskakunin_tekihan01_TEKIHAN_KIKAN_NAME</vt:lpstr>
      <vt:lpstr>cst_wskakunin_tekihan01_TEKIHAN_STATE_mishinsei</vt:lpstr>
      <vt:lpstr>cst_wskakunin_tekihan01_TEKIHAN_STATE_shinsei</vt:lpstr>
      <vt:lpstr>cst_wskakunin_tekihan01_TEKIHAN_STATE_shinseifuyou</vt:lpstr>
      <vt:lpstr>cst_wskakunin_tekihan02_TEKIHAN_KIKAN_ADDRESS</vt:lpstr>
      <vt:lpstr>cst_wskakunin_tekihan02_TEKIHAN_KIKAN_info</vt:lpstr>
      <vt:lpstr>cst_wskakunin_tekihan02_TEKIHAN_KIKAN_KEN__ken</vt:lpstr>
      <vt:lpstr>cst_wskakunin_tekihan02_TEKIHAN_KIKAN_NAME</vt:lpstr>
      <vt:lpstr>cst_wskakunin_TOKUREI_TAKASA</vt:lpstr>
      <vt:lpstr>cst_wskakunin_TOKUREI_TAKASA_box_off</vt:lpstr>
      <vt:lpstr>cst_wskakunin_TOKUREI_TAKASA_box_on</vt:lpstr>
      <vt:lpstr>cst_wskakunin_TOKUREI_TAKASA_DOURO</vt:lpstr>
      <vt:lpstr>cst_wskakunin_TOKUREI_TAKASA_KITA</vt:lpstr>
      <vt:lpstr>cst_wskakunin_TOKUREI_TAKASA_RINTI</vt:lpstr>
      <vt:lpstr>cst_wskakunin_TOKUREI_txt</vt:lpstr>
      <vt:lpstr>cst_wskakunin_TOKUTEI_KOUJI_KANRYOU_DATE_select</vt:lpstr>
      <vt:lpstr>cst_wskakunin_TOKUTEI_KOUTEI</vt:lpstr>
      <vt:lpstr>cst_wskakunin_TOKUTEI_KOUTEI_inter1</vt:lpstr>
      <vt:lpstr>cst_wskakunin_TOKUTEI_KOUTEI_inter2</vt:lpstr>
      <vt:lpstr>cst_wskakunin_wskakunin_SONOTA_KUIKI</vt:lpstr>
      <vt:lpstr>cst_wskakunin_YOUSEKI_RITU</vt:lpstr>
      <vt:lpstr>cst_wskakunin_YOUSEKI_RITU_A</vt:lpstr>
      <vt:lpstr>cst_wskakunin_YOUSEKI_RITU_B</vt:lpstr>
      <vt:lpstr>cst_wskakunin_YOUSEKI_RITU_C</vt:lpstr>
      <vt:lpstr>cst_wskakunin_YOUSEKI_RITU_D</vt:lpstr>
      <vt:lpstr>cst_wskakunin_YOUTO</vt:lpstr>
      <vt:lpstr>cst_wskakunin_YOUTO_CODE</vt:lpstr>
      <vt:lpstr>cst_wskakunin_YOUTO_TIIKI_A</vt:lpstr>
      <vt:lpstr>cst_wskakunin_YOUTO_TIIKI_B</vt:lpstr>
      <vt:lpstr>cst_wskakunin_YOUTO_TIIKI_C</vt:lpstr>
      <vt:lpstr>cst_wskakunin_YOUTO_TIIKI_D</vt:lpstr>
      <vt:lpstr>チェックシート!Print_Area</vt:lpstr>
      <vt:lpstr>チェックシート_検査!Print_Area</vt:lpstr>
      <vt:lpstr>海部建設地調書!Print_Area</vt:lpstr>
      <vt:lpstr>概要二面_旧!Print_Area</vt:lpstr>
      <vt:lpstr>換気計算等!Print_Area</vt:lpstr>
      <vt:lpstr>軽微変更報告書!Print_Area</vt:lpstr>
      <vt:lpstr>建築概要一面!Print_Area</vt:lpstr>
      <vt:lpstr>建築計画概要書第三面!Print_Area</vt:lpstr>
      <vt:lpstr>建築工事届_2410!Print_Area</vt:lpstr>
      <vt:lpstr>消防工事計画届!Print_Area</vt:lpstr>
      <vt:lpstr>浄化槽工事完了報告書!Print_Area</vt:lpstr>
      <vt:lpstr>浄化槽調書!Print_Area</vt:lpstr>
      <vt:lpstr>申請書等記載事項変更届!Print_Area</vt:lpstr>
      <vt:lpstr>中間四面!Print_Area</vt:lpstr>
      <vt:lpstr>shinsei_build_p6_01_PAGE6_KOUZOU_KEISAN_KIND__002</vt:lpstr>
      <vt:lpstr>shinsei_build_p6_01_PAGE6_KOUZOU_KEISAN_KIND__004</vt:lpstr>
      <vt:lpstr>shinsei_build_p6_01_PAGE6_KOUZOU_KEISAN_KIND__005</vt:lpstr>
      <vt:lpstr>shinsei_build_YOUTO</vt:lpstr>
      <vt:lpstr>shinsei_HIKIUKE_DATE</vt:lpstr>
      <vt:lpstr>shinsei_ISSUE_DATE</vt:lpstr>
      <vt:lpstr>shinsei_ISSUE_KOUFU_NAME</vt:lpstr>
      <vt:lpstr>shinsei_ISSUE_NO</vt:lpstr>
      <vt:lpstr>shinsei_KAKU_SUMI_NO</vt:lpstr>
      <vt:lpstr>shinsei_PROVO_DATE</vt:lpstr>
      <vt:lpstr>shinsei_PROVO_NO</vt:lpstr>
      <vt:lpstr>shinsei_UKETUKE_NO</vt:lpstr>
      <vt:lpstr>shinsei_UNIT_COUNT</vt:lpstr>
      <vt:lpstr>showsheetflag_AKC敷調別紙1</vt:lpstr>
      <vt:lpstr>showsheetflag_cst_DATA</vt:lpstr>
      <vt:lpstr>showsheetflag_dAName</vt:lpstr>
      <vt:lpstr>showsheetflag_DATA</vt:lpstr>
      <vt:lpstr>showsheetflag_dSHEET</vt:lpstr>
      <vt:lpstr>showsheetflag_dSTART</vt:lpstr>
      <vt:lpstr>showsheetflag_NoObject</vt:lpstr>
      <vt:lpstr>showsheetflag_チェックシート</vt:lpstr>
      <vt:lpstr>showsheetflag_チェックシート_検査</vt:lpstr>
      <vt:lpstr>showsheetflag_リスト</vt:lpstr>
      <vt:lpstr>showsheetflag_安全証明書</vt:lpstr>
      <vt:lpstr>showsheetflag_委任状</vt:lpstr>
      <vt:lpstr>showsheetflag_海部建設地調書</vt:lpstr>
      <vt:lpstr>showsheetflag_概要二面</vt:lpstr>
      <vt:lpstr>showsheetflag_確認審査取り下げ_済証交付前</vt:lpstr>
      <vt:lpstr>showsheetflag_確認必要図書</vt:lpstr>
      <vt:lpstr>showsheetflag_完了四面</vt:lpstr>
      <vt:lpstr>showsheetflag_換気計算等</vt:lpstr>
      <vt:lpstr>showsheetflag_軽微変更報告書</vt:lpstr>
      <vt:lpstr>showsheetflag_建築概要一面</vt:lpstr>
      <vt:lpstr>showsheetflag_建築計画概要書第三面</vt:lpstr>
      <vt:lpstr>showsheetflag_建築工事届</vt:lpstr>
      <vt:lpstr>showsheetflag_建築工事届_2410</vt:lpstr>
      <vt:lpstr>showsheetflag_検査必要図書</vt:lpstr>
      <vt:lpstr>showsheetflag_工事取りやめ_済証交付後</vt:lpstr>
      <vt:lpstr>showsheetflag_項目リスト</vt:lpstr>
      <vt:lpstr>showsheetflag_消防工事計画届</vt:lpstr>
      <vt:lpstr>showsheetflag_証明願</vt:lpstr>
      <vt:lpstr>showsheetflag_浄化槽工事完了報告書</vt:lpstr>
      <vt:lpstr>showsheetflag_浄化槽調書</vt:lpstr>
      <vt:lpstr>showsheetflag_申請書等記載事項変更届</vt:lpstr>
      <vt:lpstr>showsheetflag_説明</vt:lpstr>
      <vt:lpstr>showsheetflag_中間_完了取り下げ</vt:lpstr>
      <vt:lpstr>showsheetflag_中間四面</vt:lpstr>
      <vt:lpstr>showsheetflag_敷地調査票</vt:lpstr>
      <vt:lpstr>showsheetflag_別紙_監理者</vt:lpstr>
      <vt:lpstr>showsheetflag_別紙_建築主</vt:lpstr>
      <vt:lpstr>showsheetflag_別紙_建築主_概要書用</vt:lpstr>
      <vt:lpstr>showsheetflag_別紙_施工者</vt:lpstr>
      <vt:lpstr>showsheetflag_別紙_設計者</vt:lpstr>
      <vt:lpstr>showsheetflag_別紙_代理者</vt:lpstr>
      <vt:lpstr>showsheetflag_用途の区分</vt:lpstr>
      <vt:lpstr>wsjob_JOB_KIND</vt:lpstr>
      <vt:lpstr>wsjob_JOB_SET_KIND</vt:lpstr>
      <vt:lpstr>wsjob_TARGET_KIND</vt:lpstr>
      <vt:lpstr>wsjob_TARGET_KIND__label</vt:lpstr>
      <vt:lpstr>wskakunin__bouka</vt:lpstr>
      <vt:lpstr>wskakunin__kouji</vt:lpstr>
      <vt:lpstr>wskakunin__kuiki</vt:lpstr>
      <vt:lpstr>wskakunin__tosi_kuiki</vt:lpstr>
      <vt:lpstr>wskakunin_20kouzou101_KOUZOUSEKKEI_KOUFU_NO</vt:lpstr>
      <vt:lpstr>wskakunin_20kouzou101_NAME</vt:lpstr>
      <vt:lpstr>wskakunin_20kouzou102_KOUZOUSEKKEI_KOUFU_NO</vt:lpstr>
      <vt:lpstr>wskakunin_20kouzou102_NAME</vt:lpstr>
      <vt:lpstr>wskakunin_20kouzou103_KOUZOUSEKKEI_KOUFU_NO</vt:lpstr>
      <vt:lpstr>wskakunin_20kouzou103_NAME</vt:lpstr>
      <vt:lpstr>wskakunin_20kouzou104_KOUZOUSEKKEI_KOUFU_NO</vt:lpstr>
      <vt:lpstr>wskakunin_20kouzou104_NAME</vt:lpstr>
      <vt:lpstr>wskakunin_20kouzou105_KOUZOUSEKKEI_KOUFU_NO</vt:lpstr>
      <vt:lpstr>wskakunin_20kouzou105_NAME</vt:lpstr>
      <vt:lpstr>wskakunin_20kouzou301_KOUZOUSEKKEI_KOUFU_NO</vt:lpstr>
      <vt:lpstr>wskakunin_20kouzou301_NAME</vt:lpstr>
      <vt:lpstr>wskakunin_20kouzou302_KOUZOUSEKKEI_KOUFU_NO</vt:lpstr>
      <vt:lpstr>wskakunin_20kouzou302_NAME</vt:lpstr>
      <vt:lpstr>wskakunin_20kouzou303_KOUZOUSEKKEI_KOUFU_NO</vt:lpstr>
      <vt:lpstr>wskakunin_20kouzou303_NAME</vt:lpstr>
      <vt:lpstr>wskakunin_20kouzou304_KOUZOUSEKKEI_KOUFU_NO</vt:lpstr>
      <vt:lpstr>wskakunin_20kouzou304_NAME</vt:lpstr>
      <vt:lpstr>wskakunin_20kouzou305_KOUZOUSEKKEI_KOUFU_NO</vt:lpstr>
      <vt:lpstr>wskakunin_20kouzou305_NAME</vt:lpstr>
      <vt:lpstr>wskakunin_20setubi101_NAME</vt:lpstr>
      <vt:lpstr>wskakunin_20setubi101_SETUBISEKKEI_KOUFU_NO</vt:lpstr>
      <vt:lpstr>wskakunin_20setubi102_NAME</vt:lpstr>
      <vt:lpstr>wskakunin_20setubi102_SETUBISEKKEI_KOUFU_NO</vt:lpstr>
      <vt:lpstr>wskakunin_20setubi103_NAME</vt:lpstr>
      <vt:lpstr>wskakunin_20setubi103_SETUBISEKKEI_KOUFU_NO</vt:lpstr>
      <vt:lpstr>wskakunin_20setubi104_NAME</vt:lpstr>
      <vt:lpstr>wskakunin_20setubi104_SETUBISEKKEI_KOUFU_NO</vt:lpstr>
      <vt:lpstr>wskakunin_20setubi105_NAME</vt:lpstr>
      <vt:lpstr>wskakunin_20setubi105_SETUBISEKKEI_KOUFU_NO</vt:lpstr>
      <vt:lpstr>wskakunin_20setubi301_NAME</vt:lpstr>
      <vt:lpstr>wskakunin_20setubi301_SETUBISEKKEI_KOUFU_NO</vt:lpstr>
      <vt:lpstr>wskakunin_20setubi302_NAME</vt:lpstr>
      <vt:lpstr>wskakunin_20setubi302_SETUBISEKKEI_KOUFU_NO</vt:lpstr>
      <vt:lpstr>wskakunin_20setubi303_NAME</vt:lpstr>
      <vt:lpstr>wskakunin_20setubi303_SETUBISEKKEI_KOUFU_NO</vt:lpstr>
      <vt:lpstr>wskakunin_20setubi304_NAME</vt:lpstr>
      <vt:lpstr>wskakunin_20setubi304_SETUBISEKKEI_KOUFU_NO</vt:lpstr>
      <vt:lpstr>wskakunin_20setubi305_NAME</vt:lpstr>
      <vt:lpstr>wskakunin_20setubi305_SETUBISEKKEI_KOUFU_NO</vt:lpstr>
      <vt:lpstr>wskakunin_APPLICANT_NAME</vt:lpstr>
      <vt:lpstr>wskakunin_BOUKA_22JYO</vt:lpstr>
      <vt:lpstr>wskakunin_BOUKA_BOUKA</vt:lpstr>
      <vt:lpstr>wskakunin_BOUKA_JYUN_BOUKA</vt:lpstr>
      <vt:lpstr>wskakunin_BOUKA_NASI</vt:lpstr>
      <vt:lpstr>wskakunin_BOUKA_SETUBI_FLAG</vt:lpstr>
      <vt:lpstr>wskakunin_BUILD__address</vt:lpstr>
      <vt:lpstr>wskakunin_BUILD_ADDRESS</vt:lpstr>
      <vt:lpstr>wskakunin_BUILD_JYUKYO__address</vt:lpstr>
      <vt:lpstr>wskakunin_BUILD_JYUKYO_ADDRESS</vt:lpstr>
      <vt:lpstr>wskakunin_BUILD_JYUKYO_KEN__ken</vt:lpstr>
      <vt:lpstr>wskakunin_BUILD_KEN__ken</vt:lpstr>
      <vt:lpstr>wskakunin_BUILD_NAME</vt:lpstr>
      <vt:lpstr>wskakunin_BUILD_NAME_KANA</vt:lpstr>
      <vt:lpstr>wskakunin_BUILD_SHINSEI_COUNT</vt:lpstr>
      <vt:lpstr>wskakunin_BUILD_SONOTA_COUNT</vt:lpstr>
      <vt:lpstr>wskakunin_dairi1__address</vt:lpstr>
      <vt:lpstr>wskakunin_dairi1__sikaku</vt:lpstr>
      <vt:lpstr>wskakunin_dairi1_FAX</vt:lpstr>
      <vt:lpstr>wskakunin_dairi1_JIMU__sikaku</vt:lpstr>
      <vt:lpstr>wskakunin_dairi1_JIMU_NAME</vt:lpstr>
      <vt:lpstr>wskakunin_dairi1_JIMU_NO</vt:lpstr>
      <vt:lpstr>wskakunin_dairi1_JIMU_SIKAKU__label</vt:lpstr>
      <vt:lpstr>wskakunin_dairi1_JIMU_TOUROKU_KIKAN__label</vt:lpstr>
      <vt:lpstr>wskakunin_dairi1_KENTIKUSI_NO</vt:lpstr>
      <vt:lpstr>wskakunin_dairi1_NAME</vt:lpstr>
      <vt:lpstr>wskakunin_dairi1_NAME_KANA</vt:lpstr>
      <vt:lpstr>wskakunin_dairi1_SIKAKU__label</vt:lpstr>
      <vt:lpstr>wskakunin_dairi1_TEL</vt:lpstr>
      <vt:lpstr>wskakunin_dairi1_TOUROKU_KIKAN__label</vt:lpstr>
      <vt:lpstr>wskakunin_dairi1_ZIP</vt:lpstr>
      <vt:lpstr>wskakunin_dairi2__address</vt:lpstr>
      <vt:lpstr>wskakunin_dairi2__sikaku</vt:lpstr>
      <vt:lpstr>wskakunin_dairi2_FAX</vt:lpstr>
      <vt:lpstr>wskakunin_dairi2_JIMU__sikaku</vt:lpstr>
      <vt:lpstr>wskakunin_dairi2_JIMU_NAME</vt:lpstr>
      <vt:lpstr>wskakunin_dairi2_JIMU_NO</vt:lpstr>
      <vt:lpstr>wskakunin_dairi2_JIMU_SIKAKU__label</vt:lpstr>
      <vt:lpstr>wskakunin_dairi2_JIMU_TOUROKU_KIKAN__label</vt:lpstr>
      <vt:lpstr>wskakunin_dairi2_KENTIKUSI_NO</vt:lpstr>
      <vt:lpstr>wskakunin_dairi2_NAME</vt:lpstr>
      <vt:lpstr>wskakunin_dairi2_NAME_KANA</vt:lpstr>
      <vt:lpstr>wskakunin_dairi2_SIKAKU__label</vt:lpstr>
      <vt:lpstr>wskakunin_dairi2_TEL</vt:lpstr>
      <vt:lpstr>wskakunin_dairi2_TOUROKU_KIKAN__label</vt:lpstr>
      <vt:lpstr>wskakunin_dairi2_ZIP</vt:lpstr>
      <vt:lpstr>wskakunin_dairi3__address</vt:lpstr>
      <vt:lpstr>wskakunin_dairi3__sikaku</vt:lpstr>
      <vt:lpstr>wskakunin_dairi3_FAX</vt:lpstr>
      <vt:lpstr>wskakunin_dairi3_JIMU__sikaku</vt:lpstr>
      <vt:lpstr>wskakunin_dairi3_JIMU_NAME</vt:lpstr>
      <vt:lpstr>wskakunin_dairi3_JIMU_NO</vt:lpstr>
      <vt:lpstr>wskakunin_dairi3_JIMU_SIKAKU__label</vt:lpstr>
      <vt:lpstr>wskakunin_dairi3_JIMU_TOUROKU_KIKAN__label</vt:lpstr>
      <vt:lpstr>wskakunin_dairi3_KENTIKUSI_NO</vt:lpstr>
      <vt:lpstr>wskakunin_dairi3_NAME</vt:lpstr>
      <vt:lpstr>wskakunin_dairi3_NAME_KANA</vt:lpstr>
      <vt:lpstr>wskakunin_dairi3_SIKAKU__label</vt:lpstr>
      <vt:lpstr>wskakunin_dairi3_TEL</vt:lpstr>
      <vt:lpstr>wskakunin_dairi3_TOUROKU_KIKAN__label</vt:lpstr>
      <vt:lpstr>wskakunin_dairi3_ZIP</vt:lpstr>
      <vt:lpstr>wskakunin_dairi4__address</vt:lpstr>
      <vt:lpstr>wskakunin_dairi4__sikaku</vt:lpstr>
      <vt:lpstr>wskakunin_dairi4_FAX</vt:lpstr>
      <vt:lpstr>wskakunin_dairi4_JIMU__sikaku</vt:lpstr>
      <vt:lpstr>wskakunin_dairi4_JIMU_NAME</vt:lpstr>
      <vt:lpstr>wskakunin_dairi4_JIMU_NO</vt:lpstr>
      <vt:lpstr>wskakunin_dairi4_JIMU_SIKAKU__label</vt:lpstr>
      <vt:lpstr>wskakunin_dairi4_JIMU_TOUROKU_KIKAN__label</vt:lpstr>
      <vt:lpstr>wskakunin_dairi4_KENTIKUSI_NO</vt:lpstr>
      <vt:lpstr>wskakunin_dairi4_NAME</vt:lpstr>
      <vt:lpstr>wskakunin_dairi4_NAME_KANA</vt:lpstr>
      <vt:lpstr>wskakunin_dairi4_SIKAKU__label</vt:lpstr>
      <vt:lpstr>wskakunin_dairi4_TEL</vt:lpstr>
      <vt:lpstr>wskakunin_dairi4_TOUROKU_KIKAN__label</vt:lpstr>
      <vt:lpstr>wskakunin_dairi4_ZIP</vt:lpstr>
      <vt:lpstr>wskakunin_dairi5__address</vt:lpstr>
      <vt:lpstr>wskakunin_dairi5__sikaku</vt:lpstr>
      <vt:lpstr>wskakunin_dairi5_FAX</vt:lpstr>
      <vt:lpstr>wskakunin_dairi5_JIMU__sikaku</vt:lpstr>
      <vt:lpstr>wskakunin_dairi5_JIMU_NAME</vt:lpstr>
      <vt:lpstr>wskakunin_dairi5_JIMU_NO</vt:lpstr>
      <vt:lpstr>wskakunin_dairi5_JIMU_SIKAKU__label</vt:lpstr>
      <vt:lpstr>wskakunin_dairi5_JIMU_TOUROKU_KIKAN__label</vt:lpstr>
      <vt:lpstr>wskakunin_dairi5_KENTIKUSI_NO</vt:lpstr>
      <vt:lpstr>wskakunin_dairi5_NAME</vt:lpstr>
      <vt:lpstr>wskakunin_dairi5_NAME_KANA</vt:lpstr>
      <vt:lpstr>wskakunin_dairi5_SIKAKU__label</vt:lpstr>
      <vt:lpstr>wskakunin_dairi5_TEL</vt:lpstr>
      <vt:lpstr>wskakunin_dairi5_TOUROKU_KIKAN__label</vt:lpstr>
      <vt:lpstr>wskakunin_dairi5_ZIP</vt:lpstr>
      <vt:lpstr>wskakunin_DOURO_FUKUIN</vt:lpstr>
      <vt:lpstr>wskakunin_DOURO_NAGASA</vt:lpstr>
      <vt:lpstr>wskakunin_ecotekihan01_FUYOU_CAUSE</vt:lpstr>
      <vt:lpstr>wskakunin_ecotekihan01_TEKIHAN_KIKAN_ADDRESS</vt:lpstr>
      <vt:lpstr>wskakunin_ecotekihan01_TEKIHAN_KIKAN_KEN__ken</vt:lpstr>
      <vt:lpstr>wskakunin_ecotekihan01_TEKIHAN_KIKAN_NAME</vt:lpstr>
      <vt:lpstr>wskakunin_ecotekihan01_TEKIHAN_STATE</vt:lpstr>
      <vt:lpstr>wskakunin_gaiyou1_EV_KIND</vt:lpstr>
      <vt:lpstr>wskakunin_gaiyou1_KOUJI_KAITIKU</vt:lpstr>
      <vt:lpstr>wskakunin_gaiyou1_KOUJI_SINTIKU</vt:lpstr>
      <vt:lpstr>wskakunin_gaiyou1_KOUJI_SONOTA</vt:lpstr>
      <vt:lpstr>wskakunin_gaiyou1_KOUJI_SONOTA_TEXT</vt:lpstr>
      <vt:lpstr>wskakunin_gaiyou1_KOUJI_ZOUTIKU</vt:lpstr>
      <vt:lpstr>wskakunin_gaiyou1_KOUZOU</vt:lpstr>
      <vt:lpstr>wskakunin_gaiyou1_NINSYOU_NO</vt:lpstr>
      <vt:lpstr>wskakunin_gaiyou1_NO</vt:lpstr>
      <vt:lpstr>wskakunin_gaiyou1_SEKISAI</vt:lpstr>
      <vt:lpstr>wskakunin_gaiyou1_SONOTA</vt:lpstr>
      <vt:lpstr>wskakunin_gaiyou1_SONOTA_and_NINSYOU_NO</vt:lpstr>
      <vt:lpstr>wskakunin_gaiyou1_SPEED</vt:lpstr>
      <vt:lpstr>wskakunin_gaiyou1_TAKASA</vt:lpstr>
      <vt:lpstr>wskakunin_gaiyou1_TEIIN</vt:lpstr>
      <vt:lpstr>wskakunin_gaiyou1_TIKUZOU_MENSEKI_IGAI</vt:lpstr>
      <vt:lpstr>wskakunin_gaiyou1_TIKUZOU_MENSEKI_SHINSEI</vt:lpstr>
      <vt:lpstr>wskakunin_gaiyou1_TIKUZOU_MENSEKI_TOTAL</vt:lpstr>
      <vt:lpstr>wskakunin_gaiyou1_WORK_COUNT_IGAI</vt:lpstr>
      <vt:lpstr>wskakunin_gaiyou1_WORK_COUNT_SHINSEI</vt:lpstr>
      <vt:lpstr>wskakunin_gaiyou1_WORK_COUNT_TOTAL</vt:lpstr>
      <vt:lpstr>wskakunin_gaiyou1_WORK_SYURUI</vt:lpstr>
      <vt:lpstr>wskakunin_gaiyou1_WORK_SYURUI_CODE</vt:lpstr>
      <vt:lpstr>wskakunin_gaiyou1_YOUTO</vt:lpstr>
      <vt:lpstr>wskakunin_iken1__address</vt:lpstr>
      <vt:lpstr>wskakunin_iken1_DOC</vt:lpstr>
      <vt:lpstr>wskakunin_iken1_IKEN_NO</vt:lpstr>
      <vt:lpstr>wskakunin_iken1_JIMU_NAME</vt:lpstr>
      <vt:lpstr>wskakunin_iken1_NAME</vt:lpstr>
      <vt:lpstr>wskakunin_iken1_TEL</vt:lpstr>
      <vt:lpstr>wskakunin_iken1_ZIP</vt:lpstr>
      <vt:lpstr>wskakunin_iken2__address</vt:lpstr>
      <vt:lpstr>wskakunin_iken2_DOC</vt:lpstr>
      <vt:lpstr>wskakunin_iken2_IKEN_NO</vt:lpstr>
      <vt:lpstr>wskakunin_iken2_JIMU_NAME</vt:lpstr>
      <vt:lpstr>wskakunin_iken2_NAME</vt:lpstr>
      <vt:lpstr>wskakunin_iken2_TEL</vt:lpstr>
      <vt:lpstr>wskakunin_iken2_ZIP</vt:lpstr>
      <vt:lpstr>wskakunin_iken3__address</vt:lpstr>
      <vt:lpstr>wskakunin_iken3_DOC</vt:lpstr>
      <vt:lpstr>wskakunin_iken3_IKEN_NO</vt:lpstr>
      <vt:lpstr>wskakunin_iken3_JIMU_NAME</vt:lpstr>
      <vt:lpstr>wskakunin_iken3_NAME</vt:lpstr>
      <vt:lpstr>wskakunin_iken3_TEL</vt:lpstr>
      <vt:lpstr>wskakunin_iken3_ZIP</vt:lpstr>
      <vt:lpstr>wskakunin_iken4__address</vt:lpstr>
      <vt:lpstr>wskakunin_iken4_DOC</vt:lpstr>
      <vt:lpstr>wskakunin_iken4_IKEN_NO</vt:lpstr>
      <vt:lpstr>wskakunin_iken4_JIMU_NAME</vt:lpstr>
      <vt:lpstr>wskakunin_iken4_NAME</vt:lpstr>
      <vt:lpstr>wskakunin_iken4_TEL</vt:lpstr>
      <vt:lpstr>wskakunin_iken4_ZIP</vt:lpstr>
      <vt:lpstr>wskakunin_iken5__address</vt:lpstr>
      <vt:lpstr>wskakunin_iken5_DOC</vt:lpstr>
      <vt:lpstr>wskakunin_iken5_IKEN_NO</vt:lpstr>
      <vt:lpstr>wskakunin_iken5_JIMU_NAME</vt:lpstr>
      <vt:lpstr>wskakunin_iken5_NAME</vt:lpstr>
      <vt:lpstr>wskakunin_iken5_TEL</vt:lpstr>
      <vt:lpstr>wskakunin_iken5_ZIP</vt:lpstr>
      <vt:lpstr>wskakunin_KAISU_TIJYOU_SHINSEI</vt:lpstr>
      <vt:lpstr>wskakunin_KAISU_TIJYOU_SONOTA</vt:lpstr>
      <vt:lpstr>wskakunin_KAISU_TIKA_SHINSEI__zero</vt:lpstr>
      <vt:lpstr>wskakunin_KAISU_TIKA_SONOTA</vt:lpstr>
      <vt:lpstr>wskakunin_kanri1__address</vt:lpstr>
      <vt:lpstr>wskakunin_kanri1__sikaku</vt:lpstr>
      <vt:lpstr>wskakunin_kanri1_DOC</vt:lpstr>
      <vt:lpstr>wskakunin_kanri1_JIMU__sikaku</vt:lpstr>
      <vt:lpstr>wskakunin_kanri1_JIMU_NAME</vt:lpstr>
      <vt:lpstr>wskakunin_kanri1_JIMU_NO</vt:lpstr>
      <vt:lpstr>wskakunin_kanri1_JIMU_SIKAKU__label</vt:lpstr>
      <vt:lpstr>wskakunin_kanri1_JIMU_TOUROKU_KIKAN__label</vt:lpstr>
      <vt:lpstr>wskakunin_kanri1_KENTIKUSI_NO</vt:lpstr>
      <vt:lpstr>wskakunin_kanri1_NAME</vt:lpstr>
      <vt:lpstr>wskakunin_kanri1_SIKAKU__label</vt:lpstr>
      <vt:lpstr>wskakunin_kanri1_TEL</vt:lpstr>
      <vt:lpstr>wskakunin_kanri1_TOUROKU_KIKAN__label</vt:lpstr>
      <vt:lpstr>wskakunin_kanri1_ZIP</vt:lpstr>
      <vt:lpstr>wskakunin_kanri10__address</vt:lpstr>
      <vt:lpstr>wskakunin_kanri10__sikaku</vt:lpstr>
      <vt:lpstr>wskakunin_kanri10_DOC</vt:lpstr>
      <vt:lpstr>wskakunin_kanri10_JIMU__sikaku</vt:lpstr>
      <vt:lpstr>wskakunin_kanri10_JIMU_NAME</vt:lpstr>
      <vt:lpstr>wskakunin_kanri10_JIMU_NO</vt:lpstr>
      <vt:lpstr>wskakunin_kanri10_JIMU_SIKAKU__label</vt:lpstr>
      <vt:lpstr>wskakunin_kanri10_JIMU_TOUROKU_KIKAN__label</vt:lpstr>
      <vt:lpstr>wskakunin_kanri10_KENTIKUSI_NO</vt:lpstr>
      <vt:lpstr>wskakunin_kanri10_NAME</vt:lpstr>
      <vt:lpstr>wskakunin_kanri10_SIKAKU__label</vt:lpstr>
      <vt:lpstr>wskakunin_kanri10_TEL</vt:lpstr>
      <vt:lpstr>wskakunin_kanri10_TOUROKU_KIKAN__label</vt:lpstr>
      <vt:lpstr>wskakunin_kanri10_ZIP</vt:lpstr>
      <vt:lpstr>wskakunin_kanri11__address</vt:lpstr>
      <vt:lpstr>wskakunin_kanri11__sikaku</vt:lpstr>
      <vt:lpstr>wskakunin_kanri11_DOC</vt:lpstr>
      <vt:lpstr>wskakunin_kanri11_JIMU__sikaku</vt:lpstr>
      <vt:lpstr>wskakunin_kanri11_JIMU_NAME</vt:lpstr>
      <vt:lpstr>wskakunin_kanri11_JIMU_NO</vt:lpstr>
      <vt:lpstr>wskakunin_kanri11_JIMU_SIKAKU__label</vt:lpstr>
      <vt:lpstr>wskakunin_kanri11_JIMU_TOUROKU_KIKAN__label</vt:lpstr>
      <vt:lpstr>wskakunin_kanri11_KENTIKUSI_NO</vt:lpstr>
      <vt:lpstr>wskakunin_kanri11_NAME</vt:lpstr>
      <vt:lpstr>wskakunin_kanri11_SIKAKU__label</vt:lpstr>
      <vt:lpstr>wskakunin_kanri11_TEL</vt:lpstr>
      <vt:lpstr>wskakunin_kanri11_TOUROKU_KIKAN__label</vt:lpstr>
      <vt:lpstr>wskakunin_kanri11_ZIP</vt:lpstr>
      <vt:lpstr>wskakunin_kanri12__address</vt:lpstr>
      <vt:lpstr>wskakunin_kanri12__sikaku</vt:lpstr>
      <vt:lpstr>wskakunin_kanri12_DOC</vt:lpstr>
      <vt:lpstr>wskakunin_kanri12_JIMU__sikaku</vt:lpstr>
      <vt:lpstr>wskakunin_kanri12_JIMU_NAME</vt:lpstr>
      <vt:lpstr>wskakunin_kanri12_JIMU_NO</vt:lpstr>
      <vt:lpstr>wskakunin_kanri12_JIMU_SIKAKU__label</vt:lpstr>
      <vt:lpstr>wskakunin_kanri12_JIMU_TOUROKU_KIKAN__label</vt:lpstr>
      <vt:lpstr>wskakunin_kanri12_KENTIKUSI_NO</vt:lpstr>
      <vt:lpstr>wskakunin_kanri12_NAME</vt:lpstr>
      <vt:lpstr>wskakunin_kanri12_SIKAKU__label</vt:lpstr>
      <vt:lpstr>wskakunin_kanri12_TEL</vt:lpstr>
      <vt:lpstr>wskakunin_kanri12_TOUROKU_KIKAN__label</vt:lpstr>
      <vt:lpstr>wskakunin_kanri12_ZIP</vt:lpstr>
      <vt:lpstr>wskakunin_kanri2__address</vt:lpstr>
      <vt:lpstr>wskakunin_kanri2__sikaku</vt:lpstr>
      <vt:lpstr>wskakunin_kanri2_DOC</vt:lpstr>
      <vt:lpstr>wskakunin_kanri2_JIMU__sikaku</vt:lpstr>
      <vt:lpstr>wskakunin_kanri2_JIMU_NAME</vt:lpstr>
      <vt:lpstr>wskakunin_kanri2_JIMU_NO</vt:lpstr>
      <vt:lpstr>wskakunin_kanri2_JIMU_SIKAKU__label</vt:lpstr>
      <vt:lpstr>wskakunin_kanri2_JIMU_TOUROKU_KIKAN__label</vt:lpstr>
      <vt:lpstr>wskakunin_kanri2_KENTIKUSI_NO</vt:lpstr>
      <vt:lpstr>wskakunin_kanri2_NAME</vt:lpstr>
      <vt:lpstr>wskakunin_kanri2_SIKAKU__label</vt:lpstr>
      <vt:lpstr>wskakunin_kanri2_TEL</vt:lpstr>
      <vt:lpstr>wskakunin_kanri2_TOUROKU_KIKAN__label</vt:lpstr>
      <vt:lpstr>wskakunin_kanri2_ZIP</vt:lpstr>
      <vt:lpstr>wskakunin_kanri3__address</vt:lpstr>
      <vt:lpstr>wskakunin_kanri3__sikaku</vt:lpstr>
      <vt:lpstr>wskakunin_kanri3_DOC</vt:lpstr>
      <vt:lpstr>wskakunin_kanri3_JIMU__sikaku</vt:lpstr>
      <vt:lpstr>wskakunin_kanri3_JIMU_NAME</vt:lpstr>
      <vt:lpstr>wskakunin_kanri3_JIMU_NO</vt:lpstr>
      <vt:lpstr>wskakunin_kanri3_JIMU_SIKAKU__label</vt:lpstr>
      <vt:lpstr>wskakunin_kanri3_JIMU_TOUROKU_KIKAN__label</vt:lpstr>
      <vt:lpstr>wskakunin_kanri3_KENTIKUSI_NO</vt:lpstr>
      <vt:lpstr>wskakunin_kanri3_NAME</vt:lpstr>
      <vt:lpstr>wskakunin_kanri3_SIKAKU__label</vt:lpstr>
      <vt:lpstr>wskakunin_kanri3_TEL</vt:lpstr>
      <vt:lpstr>wskakunin_kanri3_TOUROKU_KIKAN__label</vt:lpstr>
      <vt:lpstr>wskakunin_kanri3_ZIP</vt:lpstr>
      <vt:lpstr>wskakunin_kanri4__address</vt:lpstr>
      <vt:lpstr>wskakunin_kanri4__sikaku</vt:lpstr>
      <vt:lpstr>wskakunin_kanri4_DOC</vt:lpstr>
      <vt:lpstr>wskakunin_kanri4_JIMU__sikaku</vt:lpstr>
      <vt:lpstr>wskakunin_kanri4_JIMU_NAME</vt:lpstr>
      <vt:lpstr>wskakunin_kanri4_JIMU_NO</vt:lpstr>
      <vt:lpstr>wskakunin_kanri4_JIMU_SIKAKU__label</vt:lpstr>
      <vt:lpstr>wskakunin_kanri4_JIMU_TOUROKU_KIKAN__label</vt:lpstr>
      <vt:lpstr>wskakunin_kanri4_KENTIKUSI_NO</vt:lpstr>
      <vt:lpstr>wskakunin_kanri4_NAME</vt:lpstr>
      <vt:lpstr>wskakunin_kanri4_SIKAKU__label</vt:lpstr>
      <vt:lpstr>wskakunin_kanri4_TEL</vt:lpstr>
      <vt:lpstr>wskakunin_kanri4_TOUROKU_KIKAN__label</vt:lpstr>
      <vt:lpstr>wskakunin_kanri4_ZIP</vt:lpstr>
      <vt:lpstr>wskakunin_kanri5__address</vt:lpstr>
      <vt:lpstr>wskakunin_kanri5__sikaku</vt:lpstr>
      <vt:lpstr>wskakunin_kanri5_DOC</vt:lpstr>
      <vt:lpstr>wskakunin_kanri5_JIMU__sikaku</vt:lpstr>
      <vt:lpstr>wskakunin_kanri5_JIMU_NAME</vt:lpstr>
      <vt:lpstr>wskakunin_kanri5_JIMU_NO</vt:lpstr>
      <vt:lpstr>wskakunin_kanri5_JIMU_SIKAKU__label</vt:lpstr>
      <vt:lpstr>wskakunin_kanri5_JIMU_TOUROKU_KIKAN__label</vt:lpstr>
      <vt:lpstr>wskakunin_kanri5_KENTIKUSI_NO</vt:lpstr>
      <vt:lpstr>wskakunin_kanri5_NAME</vt:lpstr>
      <vt:lpstr>wskakunin_kanri5_SIKAKU__label</vt:lpstr>
      <vt:lpstr>wskakunin_kanri5_TEL</vt:lpstr>
      <vt:lpstr>wskakunin_kanri5_TOUROKU_KIKAN__label</vt:lpstr>
      <vt:lpstr>wskakunin_kanri5_ZIP</vt:lpstr>
      <vt:lpstr>wskakunin_kanri6__address</vt:lpstr>
      <vt:lpstr>wskakunin_kanri6__sikaku</vt:lpstr>
      <vt:lpstr>wskakunin_kanri6_DOC</vt:lpstr>
      <vt:lpstr>wskakunin_kanri6_JIMU__sikaku</vt:lpstr>
      <vt:lpstr>wskakunin_kanri6_JIMU_NAME</vt:lpstr>
      <vt:lpstr>wskakunin_kanri6_JIMU_NO</vt:lpstr>
      <vt:lpstr>wskakunin_kanri6_JIMU_SIKAKU__label</vt:lpstr>
      <vt:lpstr>wskakunin_kanri6_JIMU_TOUROKU_KIKAN__label</vt:lpstr>
      <vt:lpstr>wskakunin_kanri6_KENTIKUSI_NO</vt:lpstr>
      <vt:lpstr>wskakunin_kanri6_NAME</vt:lpstr>
      <vt:lpstr>wskakunin_kanri6_SIKAKU__label</vt:lpstr>
      <vt:lpstr>wskakunin_kanri6_TEL</vt:lpstr>
      <vt:lpstr>wskakunin_kanri6_TOUROKU_KIKAN__label</vt:lpstr>
      <vt:lpstr>wskakunin_kanri6_ZIP</vt:lpstr>
      <vt:lpstr>wskakunin_kanri7__address</vt:lpstr>
      <vt:lpstr>wskakunin_kanri7__sikaku</vt:lpstr>
      <vt:lpstr>wskakunin_kanri7_DOC</vt:lpstr>
      <vt:lpstr>wskakunin_kanri7_JIMU__sikaku</vt:lpstr>
      <vt:lpstr>wskakunin_kanri7_JIMU_NAME</vt:lpstr>
      <vt:lpstr>wskakunin_kanri7_JIMU_NO</vt:lpstr>
      <vt:lpstr>wskakunin_kanri7_JIMU_SIKAKU__label</vt:lpstr>
      <vt:lpstr>wskakunin_kanri7_JIMU_TOUROKU_KIKAN__label</vt:lpstr>
      <vt:lpstr>wskakunin_kanri7_KENTIKUSI_NO</vt:lpstr>
      <vt:lpstr>wskakunin_kanri7_NAME</vt:lpstr>
      <vt:lpstr>wskakunin_kanri7_SIKAKU__label</vt:lpstr>
      <vt:lpstr>wskakunin_kanri7_TEL</vt:lpstr>
      <vt:lpstr>wskakunin_kanri7_TOUROKU_KIKAN__label</vt:lpstr>
      <vt:lpstr>wskakunin_kanri7_ZIP</vt:lpstr>
      <vt:lpstr>wskakunin_kanri8__address</vt:lpstr>
      <vt:lpstr>wskakunin_kanri8__sikaku</vt:lpstr>
      <vt:lpstr>wskakunin_kanri8_DOC</vt:lpstr>
      <vt:lpstr>wskakunin_kanri8_JIMU__sikaku</vt:lpstr>
      <vt:lpstr>wskakunin_kanri8_JIMU_NAME</vt:lpstr>
      <vt:lpstr>wskakunin_kanri8_JIMU_NO</vt:lpstr>
      <vt:lpstr>wskakunin_kanri8_JIMU_SIKAKU__label</vt:lpstr>
      <vt:lpstr>wskakunin_kanri8_JIMU_TOUROKU_KIKAN__label</vt:lpstr>
      <vt:lpstr>wskakunin_kanri8_KENTIKUSI_NO</vt:lpstr>
      <vt:lpstr>wskakunin_kanri8_NAME</vt:lpstr>
      <vt:lpstr>wskakunin_kanri8_SIKAKU__label</vt:lpstr>
      <vt:lpstr>wskakunin_kanri8_TEL</vt:lpstr>
      <vt:lpstr>wskakunin_kanri8_TOUROKU_KIKAN__label</vt:lpstr>
      <vt:lpstr>wskakunin_kanri8_ZIP</vt:lpstr>
      <vt:lpstr>wskakunin_kanri9__address</vt:lpstr>
      <vt:lpstr>wskakunin_kanri9__sikaku</vt:lpstr>
      <vt:lpstr>wskakunin_kanri9_DOC</vt:lpstr>
      <vt:lpstr>wskakunin_kanri9_JIMU__sikaku</vt:lpstr>
      <vt:lpstr>wskakunin_kanri9_JIMU_NAME</vt:lpstr>
      <vt:lpstr>wskakunin_kanri9_JIMU_NO</vt:lpstr>
      <vt:lpstr>wskakunin_kanri9_JIMU_SIKAKU__label</vt:lpstr>
      <vt:lpstr>wskakunin_kanri9_JIMU_TOUROKU_KIKAN__label</vt:lpstr>
      <vt:lpstr>wskakunin_kanri9_KENTIKUSI_NO</vt:lpstr>
      <vt:lpstr>wskakunin_kanri9_NAME</vt:lpstr>
      <vt:lpstr>wskakunin_kanri9_SIKAKU__label</vt:lpstr>
      <vt:lpstr>wskakunin_kanri9_TEL</vt:lpstr>
      <vt:lpstr>wskakunin_kanri9_TOUROKU_KIKAN__label</vt:lpstr>
      <vt:lpstr>wskakunin_kanri9_ZIP</vt:lpstr>
      <vt:lpstr>wskakunin_keibi_henkou01_HENKOU_GAIYOU</vt:lpstr>
      <vt:lpstr>wskakunin_keibi_henkou01_HENKOU_SYURUI</vt:lpstr>
      <vt:lpstr>wskakunin_KENPEI_RITU</vt:lpstr>
      <vt:lpstr>wskakunin_KENPEI_RITU_A</vt:lpstr>
      <vt:lpstr>wskakunin_KENPEI_RITU_B</vt:lpstr>
      <vt:lpstr>wskakunin_KENPEI_RITU_C</vt:lpstr>
      <vt:lpstr>wskakunin_KENPEI_RITU_D</vt:lpstr>
      <vt:lpstr>wskakunin_KENSA_YUKA_MENSEKI</vt:lpstr>
      <vt:lpstr>wskakunin_KENTIKU_MENSEKI_IGAI</vt:lpstr>
      <vt:lpstr>wskakunin_KENTIKU_MENSEKI_SHINSEI</vt:lpstr>
      <vt:lpstr>wskakunin_KENTIKU_MENSEKI_TOTAL</vt:lpstr>
      <vt:lpstr>wskakunin_KENTIKU_MENSEKI_ZENTAI_IGAI</vt:lpstr>
      <vt:lpstr>wskakunin_KENTIKU_MENSEKI_ZENTAI_SHINSEI</vt:lpstr>
      <vt:lpstr>wskakunin_KENTIKU_MENSEKI_ZENTAI_TOTAL</vt:lpstr>
      <vt:lpstr>wskakunin_KENTIKU_NINSYO_NO</vt:lpstr>
      <vt:lpstr>wskakunin_KIKAN_NAME</vt:lpstr>
      <vt:lpstr>wskakunin_KITEI_CHOUSA_FLAG</vt:lpstr>
      <vt:lpstr>wskakunin_KOUJI_DAI_MOYOUGAE</vt:lpstr>
      <vt:lpstr>wskakunin_KOUJI_DAI_SYUUZEN</vt:lpstr>
      <vt:lpstr>wskakunin_KOUJI_ITEN</vt:lpstr>
      <vt:lpstr>wskakunin_KOUJI_KAITIKU</vt:lpstr>
      <vt:lpstr>wskakunin_KOUJI_KANRYOU_DATE</vt:lpstr>
      <vt:lpstr>wskakunin_KOUJI_KANRYOU_YOTEI_DATE</vt:lpstr>
      <vt:lpstr>wskakunin_KOUJI_SINTIKU</vt:lpstr>
      <vt:lpstr>wskakunin_KOUJI_TYAKUSYU_DATE</vt:lpstr>
      <vt:lpstr>wskakunin_KOUJI_TYAKUSYU_YOTEI_DATE</vt:lpstr>
      <vt:lpstr>wskakunin_KOUJI_YOUTOHENKOU</vt:lpstr>
      <vt:lpstr>wskakunin_KOUJI_ZOUTIKU</vt:lpstr>
      <vt:lpstr>wskakunin_koutei_ikou01_KOUTEI_DATE</vt:lpstr>
      <vt:lpstr>wskakunin_koutei_ikou01_KOUTEI_KAISUU</vt:lpstr>
      <vt:lpstr>wskakunin_koutei_ikou01_KOUTEI_TEXT</vt:lpstr>
      <vt:lpstr>wskakunin_koutei_ikou02_KOUTEI_DATE</vt:lpstr>
      <vt:lpstr>wskakunin_koutei_ikou02_KOUTEI_KAISUU</vt:lpstr>
      <vt:lpstr>wskakunin_koutei_ikou02_KOUTEI_TEXT</vt:lpstr>
      <vt:lpstr>wskakunin_koutei_izen01_INTER_ISSUE_DATE</vt:lpstr>
      <vt:lpstr>wskakunin_koutei_izen01_INTER_ISSUE_NAME</vt:lpstr>
      <vt:lpstr>wskakunin_koutei_izen01_INTER_ISSUE_NO</vt:lpstr>
      <vt:lpstr>wskakunin_koutei_izen01_KOUTEI_KAISUU</vt:lpstr>
      <vt:lpstr>wskakunin_koutei_izen01_KOUTEI_TEXT</vt:lpstr>
      <vt:lpstr>wskakunin_koutei_izen02_INTER_ISSUE_DATE</vt:lpstr>
      <vt:lpstr>wskakunin_koutei_izen02_INTER_ISSUE_NAME</vt:lpstr>
      <vt:lpstr>wskakunin_koutei_izen02_INTER_ISSUE_NO</vt:lpstr>
      <vt:lpstr>wskakunin_koutei_izen02_KOUTEI_KAISUU</vt:lpstr>
      <vt:lpstr>wskakunin_koutei_izen02_KOUTEI_TEXT</vt:lpstr>
      <vt:lpstr>wskakunin_koutei_izen03_INTER_ISSUE_DATE</vt:lpstr>
      <vt:lpstr>wskakunin_koutei_izen03_INTER_ISSUE_NAME</vt:lpstr>
      <vt:lpstr>wskakunin_koutei_izen03_INTER_ISSUE_NO</vt:lpstr>
      <vt:lpstr>wskakunin_koutei_izen03_KOUTEI_KAISUU</vt:lpstr>
      <vt:lpstr>wskakunin_koutei_izen03_KOUTEI_TEXT</vt:lpstr>
      <vt:lpstr>wskakunin_koutei_izen04_INTER_ISSUE_DATE</vt:lpstr>
      <vt:lpstr>wskakunin_koutei_izen04_INTER_ISSUE_NAME</vt:lpstr>
      <vt:lpstr>wskakunin_koutei_izen04_INTER_ISSUE_NO</vt:lpstr>
      <vt:lpstr>wskakunin_koutei_izen04_KOUTEI_KAISUU</vt:lpstr>
      <vt:lpstr>wskakunin_koutei_izen04_KOUTEI_TEXT</vt:lpstr>
      <vt:lpstr>wskakunin_koutei01_INTER_ISSUE_DATE</vt:lpstr>
      <vt:lpstr>wskakunin_koutei01_INTER_ISSUE_NAME</vt:lpstr>
      <vt:lpstr>wskakunin_koutei01_INTER_ISSUE_NO</vt:lpstr>
      <vt:lpstr>wskakunin_koutei01_KOUTEI_DATE</vt:lpstr>
      <vt:lpstr>wskakunin_koutei01_KOUTEI_KAISUU</vt:lpstr>
      <vt:lpstr>wskakunin_koutei01_KOUTEI_TEXT</vt:lpstr>
      <vt:lpstr>wskakunin_koutei02_INTER_ISSUE_DATE</vt:lpstr>
      <vt:lpstr>wskakunin_koutei02_INTER_ISSUE_NAME</vt:lpstr>
      <vt:lpstr>wskakunin_koutei02_INTER_ISSUE_NO</vt:lpstr>
      <vt:lpstr>wskakunin_koutei02_KOUTEI_DATE</vt:lpstr>
      <vt:lpstr>wskakunin_koutei02_KOUTEI_KAISUU</vt:lpstr>
      <vt:lpstr>wskakunin_koutei02_KOUTEI_TEXT</vt:lpstr>
      <vt:lpstr>wskakunin_koutei03_KOUTEI_DATE</vt:lpstr>
      <vt:lpstr>wskakunin_koutei03_KOUTEI_KAISUU</vt:lpstr>
      <vt:lpstr>wskakunin_koutei03_KOUTEI_TEXT</vt:lpstr>
      <vt:lpstr>wskakunin_koutei04_KOUTEI_DATE</vt:lpstr>
      <vt:lpstr>wskakunin_koutei04_KOUTEI_KAISUU</vt:lpstr>
      <vt:lpstr>wskakunin_koutei04_KOUTEI_TEXT</vt:lpstr>
      <vt:lpstr>wskakunin_KOUZOU1</vt:lpstr>
      <vt:lpstr>wskakunin_KOUZOU2</vt:lpstr>
      <vt:lpstr>wskakunin_KUIKI_HISETTEI</vt:lpstr>
      <vt:lpstr>wskakunin_KUIKI_JYUN_TOSHI</vt:lpstr>
      <vt:lpstr>wskakunin_KUIKI_KUIKIGAI</vt:lpstr>
      <vt:lpstr>wskakunin_KUIKI_SIGAIKA</vt:lpstr>
      <vt:lpstr>wskakunin_KUIKI_TOSI</vt:lpstr>
      <vt:lpstr>wskakunin_KUIKI_TYOSEI</vt:lpstr>
      <vt:lpstr>wskakunin_kyoka01_</vt:lpstr>
      <vt:lpstr>wskakunin_kyoka01_BIKOU</vt:lpstr>
      <vt:lpstr>wskakunin_kyoka01_HOUREI</vt:lpstr>
      <vt:lpstr>wskakunin_kyoka01_JOUKOU</vt:lpstr>
      <vt:lpstr>wskakunin_kyoka01_KYOKA_DATE</vt:lpstr>
      <vt:lpstr>wskakunin_kyoka01_KYOKA_NO</vt:lpstr>
      <vt:lpstr>wskakunin_kyoka02_BIKOU</vt:lpstr>
      <vt:lpstr>wskakunin_kyoka02_HOUREI</vt:lpstr>
      <vt:lpstr>wskakunin_kyoka02_JOUKOU</vt:lpstr>
      <vt:lpstr>wskakunin_kyoka02_KYOKA_DATE</vt:lpstr>
      <vt:lpstr>wskakunin_kyoka02_KYOKA_NO</vt:lpstr>
      <vt:lpstr>wskakunin_kyoka03_BIKOU</vt:lpstr>
      <vt:lpstr>wskakunin_kyoka03_HOUREI</vt:lpstr>
      <vt:lpstr>wskakunin_kyoka03_JOUKOU</vt:lpstr>
      <vt:lpstr>wskakunin_kyoka03_KYOKA_DATE</vt:lpstr>
      <vt:lpstr>wskakunin_kyoka03_KYOKA_NO</vt:lpstr>
      <vt:lpstr>wskakunin_LAST_ISSUE_DATE</vt:lpstr>
      <vt:lpstr>wskakunin_LAST_ISSUE_NAME</vt:lpstr>
      <vt:lpstr>wskakunin_LAST_ISSUE_NO</vt:lpstr>
      <vt:lpstr>wskakunin_LIMIT_KENPEI_RITU</vt:lpstr>
      <vt:lpstr>wskakunin_LIMIT_YOUSEKI_RITU</vt:lpstr>
      <vt:lpstr>wskakunin_NOBE_MENSEKI</vt:lpstr>
      <vt:lpstr>wskakunin_NOBE_MENSEKI_BITIKUSOUKO_IGAI</vt:lpstr>
      <vt:lpstr>wskakunin_NOBE_MENSEKI_BITIKUSOUKO_SHINSEI</vt:lpstr>
      <vt:lpstr>wskakunin_NOBE_MENSEKI_BITIKUSOUKO_TOTAL</vt:lpstr>
      <vt:lpstr>wskakunin_NOBE_MENSEKI_BUILD_IGAI</vt:lpstr>
      <vt:lpstr>wskakunin_NOBE_MENSEKI_BUILD_SHINSEI</vt:lpstr>
      <vt:lpstr>wskakunin_NOBE_MENSEKI_BUILD_TOTAL</vt:lpstr>
      <vt:lpstr>wskakunin_NOBE_MENSEKI_CHOSUISOU_IGAI</vt:lpstr>
      <vt:lpstr>wskakunin_NOBE_MENSEKI_CHOSUISOU_SHINSEI</vt:lpstr>
      <vt:lpstr>wskakunin_NOBE_MENSEKI_CHOSUISOU_TOTAL</vt:lpstr>
      <vt:lpstr>wskakunin_NOBE_MENSEKI_FUSANNYU_IGAI</vt:lpstr>
      <vt:lpstr>wskakunin_NOBE_MENSEKI_FUSANNYU_SHINSEI</vt:lpstr>
      <vt:lpstr>wskakunin_NOBE_MENSEKI_FUSANNYU_TOTAL</vt:lpstr>
      <vt:lpstr>wskakunin_NOBE_MENSEKI_JIKAHATUDEN_IGAI</vt:lpstr>
      <vt:lpstr>wskakunin_NOBE_MENSEKI_JIKAHATUDEN_SHINSEI</vt:lpstr>
      <vt:lpstr>wskakunin_NOBE_MENSEKI_JIKAHATUDEN_TOTAL</vt:lpstr>
      <vt:lpstr>wskakunin_NOBE_MENSEKI_JYUTAKU_IGAI</vt:lpstr>
      <vt:lpstr>wskakunin_NOBE_MENSEKI_JYUTAKU_SHINSEI</vt:lpstr>
      <vt:lpstr>wskakunin_NOBE_MENSEKI_JYUTAKU_TOTAL</vt:lpstr>
      <vt:lpstr>wskakunin_NOBE_MENSEKI_KIKAI_IGAI</vt:lpstr>
      <vt:lpstr>wskakunin_NOBE_MENSEKI_KIKAI_SHINSEI</vt:lpstr>
      <vt:lpstr>wskakunin_NOBE_MENSEKI_KIKAI_TOTAL</vt:lpstr>
      <vt:lpstr>wskakunin_NOBE_MENSEKI_KYOYOU_IGAI</vt:lpstr>
      <vt:lpstr>wskakunin_NOBE_MENSEKI_KYOYOU_SHINSEI</vt:lpstr>
      <vt:lpstr>wskakunin_NOBE_MENSEKI_KYOYOU_TOTAL</vt:lpstr>
      <vt:lpstr>wskakunin_NOBE_MENSEKI_ROUJIN_IGAI</vt:lpstr>
      <vt:lpstr>wskakunin_NOBE_MENSEKI_ROUJIN_SHINSEI</vt:lpstr>
      <vt:lpstr>wskakunin_NOBE_MENSEKI_ROUJIN_TOTAL</vt:lpstr>
      <vt:lpstr>wskakunin_NOBE_MENSEKI_SYAKO_IGAI</vt:lpstr>
      <vt:lpstr>wskakunin_NOBE_MENSEKI_SYAKO_SHINSEI</vt:lpstr>
      <vt:lpstr>wskakunin_NOBE_MENSEKI_SYAKO_TOTAL</vt:lpstr>
      <vt:lpstr>wskakunin_NOBE_MENSEKI_SYOUKOURO_IGAI</vt:lpstr>
      <vt:lpstr>wskakunin_NOBE_MENSEKI_SYOUKOURO_SHINSEI</vt:lpstr>
      <vt:lpstr>wskakunin_NOBE_MENSEKI_SYOUKOURO_TOTAL</vt:lpstr>
      <vt:lpstr>wskakunin_NOBE_MENSEKI_TAKUHAI_IGAI</vt:lpstr>
      <vt:lpstr>wskakunin_NOBE_MENSEKI_TAKUHAI_SHINSEI</vt:lpstr>
      <vt:lpstr>wskakunin_NOBE_MENSEKI_TAKUHAI_TOTAL</vt:lpstr>
      <vt:lpstr>wskakunin_NOBE_MENSEKI_TIKAI_IGAI</vt:lpstr>
      <vt:lpstr>wskakunin_NOBE_MENSEKI_TIKAI_SHINSEI</vt:lpstr>
      <vt:lpstr>wskakunin_NOBE_MENSEKI_TIKAI_TOTAL</vt:lpstr>
      <vt:lpstr>wskakunin_NOBE_MENSEKI_TIKUDENTI_IGAI</vt:lpstr>
      <vt:lpstr>wskakunin_NOBE_MENSEKI_TIKUDENTI_SHINSEI</vt:lpstr>
      <vt:lpstr>wskakunin_NOBE_MENSEKI_TIKUDENTI_TOTAL</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wskakunin_owner2__address</vt:lpstr>
      <vt:lpstr>wskakunin_owner2_JIMU_NAME</vt:lpstr>
      <vt:lpstr>wskakunin_owner2_JIMU_NAME_KANA</vt:lpstr>
      <vt:lpstr>wskakunin_owner2_NAME</vt:lpstr>
      <vt:lpstr>wskakunin_owner2_NAME_KANA</vt:lpstr>
      <vt:lpstr>wskakunin_owner2_POST</vt:lpstr>
      <vt:lpstr>wskakunin_owner2_POST_KANA</vt:lpstr>
      <vt:lpstr>wskakunin_owner2_TEL</vt:lpstr>
      <vt:lpstr>wskakunin_owner2_ZIP</vt:lpstr>
      <vt:lpstr>wskakunin_owner3__address</vt:lpstr>
      <vt:lpstr>wskakunin_owner3_JIMU_NAME</vt:lpstr>
      <vt:lpstr>wskakunin_owner3_JIMU_NAME_KANA</vt:lpstr>
      <vt:lpstr>wskakunin_owner3_NAME</vt:lpstr>
      <vt:lpstr>wskakunin_owner3_NAME_KANA</vt:lpstr>
      <vt:lpstr>wskakunin_owner3_POST</vt:lpstr>
      <vt:lpstr>wskakunin_owner3_POST_KANA</vt:lpstr>
      <vt:lpstr>wskakunin_owner3_TEL</vt:lpstr>
      <vt:lpstr>wskakunin_owner3_ZIP</vt:lpstr>
      <vt:lpstr>wskakunin_owner4__address</vt:lpstr>
      <vt:lpstr>wskakunin_owner4_JIMU_NAME</vt:lpstr>
      <vt:lpstr>wskakunin_owner4_JIMU_NAME_KANA</vt:lpstr>
      <vt:lpstr>wskakunin_owner4_NAME</vt:lpstr>
      <vt:lpstr>wskakunin_owner4_NAME_KANA</vt:lpstr>
      <vt:lpstr>wskakunin_owner4_POST</vt:lpstr>
      <vt:lpstr>wskakunin_owner4_POST_KANA</vt:lpstr>
      <vt:lpstr>wskakunin_owner4_TEL</vt:lpstr>
      <vt:lpstr>wskakunin_owner4_ZIP</vt:lpstr>
      <vt:lpstr>wskakunin_owner5__address</vt:lpstr>
      <vt:lpstr>wskakunin_owner5_JIMU_NAME</vt:lpstr>
      <vt:lpstr>wskakunin_owner5_JIMU_NAME_KANA</vt:lpstr>
      <vt:lpstr>wskakunin_owner5_NAME</vt:lpstr>
      <vt:lpstr>wskakunin_owner5_NAME_KANA</vt:lpstr>
      <vt:lpstr>wskakunin_owner5_POST</vt:lpstr>
      <vt:lpstr>wskakunin_owner5_POST_KANA</vt:lpstr>
      <vt:lpstr>wskakunin_owner5_TEL</vt:lpstr>
      <vt:lpstr>wskakunin_owner5_ZIP</vt:lpstr>
      <vt:lpstr>wskakunin_owner6__address</vt:lpstr>
      <vt:lpstr>wskakunin_owner6_JIMU_NAME</vt:lpstr>
      <vt:lpstr>wskakunin_owner6_JIMU_NAME_KANA</vt:lpstr>
      <vt:lpstr>wskakunin_owner6_NAME</vt:lpstr>
      <vt:lpstr>wskakunin_owner6_NAME_KANA</vt:lpstr>
      <vt:lpstr>wskakunin_owner6_POST</vt:lpstr>
      <vt:lpstr>wskakunin_owner6_POST_KANA</vt:lpstr>
      <vt:lpstr>wskakunin_owner6_TEL</vt:lpstr>
      <vt:lpstr>wskakunin_owner6_ZIP</vt:lpstr>
      <vt:lpstr>wskakunin_owner7__address</vt:lpstr>
      <vt:lpstr>wskakunin_owner7_JIMU_NAME</vt:lpstr>
      <vt:lpstr>wskakunin_owner7_JIMU_NAME_KANA</vt:lpstr>
      <vt:lpstr>wskakunin_owner7_NAME</vt:lpstr>
      <vt:lpstr>wskakunin_owner7_NAME_KANA</vt:lpstr>
      <vt:lpstr>wskakunin_owner7_POST</vt:lpstr>
      <vt:lpstr>wskakunin_owner7_POST_KANA</vt:lpstr>
      <vt:lpstr>wskakunin_owner7_TEL</vt:lpstr>
      <vt:lpstr>wskakunin_owner7_ZIP</vt:lpstr>
      <vt:lpstr>wskakunin_owner8__address</vt:lpstr>
      <vt:lpstr>wskakunin_owner8_JIMU_NAME</vt:lpstr>
      <vt:lpstr>wskakunin_owner8_JIMU_NAME_KANA</vt:lpstr>
      <vt:lpstr>wskakunin_owner8_NAME</vt:lpstr>
      <vt:lpstr>wskakunin_owner8_NAME_KANA</vt:lpstr>
      <vt:lpstr>wskakunin_owner8_POST</vt:lpstr>
      <vt:lpstr>wskakunin_owner8_POST_KANA</vt:lpstr>
      <vt:lpstr>wskakunin_owner8_TEL</vt:lpstr>
      <vt:lpstr>wskakunin_owner8_ZIP</vt:lpstr>
      <vt:lpstr>wskakunin_owner9__address</vt:lpstr>
      <vt:lpstr>wskakunin_owner9_JIMU_NAME</vt:lpstr>
      <vt:lpstr>wskakunin_owner9_JIMU_NAME_KANA</vt:lpstr>
      <vt:lpstr>wskakunin_owner9_NAME</vt:lpstr>
      <vt:lpstr>wskakunin_owner9_NAME_KANA</vt:lpstr>
      <vt:lpstr>wskakunin_owner9_POST</vt:lpstr>
      <vt:lpstr>wskakunin_owner9_POST_KANA</vt:lpstr>
      <vt:lpstr>wskakunin_owner9_TEL</vt:lpstr>
      <vt:lpstr>wskakunin_owner9_ZIP</vt:lpstr>
      <vt:lpstr>wskakunin_P1_HENKOU_GAIYOU</vt:lpstr>
      <vt:lpstr>wskakunin_P2_BIKOU</vt:lpstr>
      <vt:lpstr>wskakunin_P3_BIKOU</vt:lpstr>
      <vt:lpstr>wskakunin_P3_SONOTA</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wskakunin_p4_1_YUKA_MENSEKI_SHINSEI</vt:lpstr>
      <vt:lpstr>wskakunin_p4_2_KAISU_TIKAI</vt:lpstr>
      <vt:lpstr>wskakunin_p4_2_KAISU_TIKAI_NOZOKU</vt:lpstr>
      <vt:lpstr>wskakunin_p4_2_YUKA_MENSEKI_SHINSEI</vt:lpstr>
      <vt:lpstr>wskakunin_p4_3_KAISU_TIKAI</vt:lpstr>
      <vt:lpstr>wskakunin_p4_3_KAISU_TIKAI_NOZOKU</vt:lpstr>
      <vt:lpstr>wskakunin_p4_3_YUKA_MENSEKI_SHINSEI</vt:lpstr>
      <vt:lpstr>wskakunin_PAGE1_ALTERATION_NOTE</vt:lpstr>
      <vt:lpstr>wskakunin_sekkei1__address</vt:lpstr>
      <vt:lpstr>wskakunin_sekkei1__sikaku</vt:lpstr>
      <vt:lpstr>wskakunin_sekkei1_DOC</vt:lpstr>
      <vt:lpstr>wskakunin_sekkei1_JIMU__sikaku</vt:lpstr>
      <vt:lpstr>wskakunin_sekkei1_JIMU_NAME</vt:lpstr>
      <vt:lpstr>wskakunin_sekkei1_JIMU_NO</vt:lpstr>
      <vt:lpstr>wskakunin_sekkei1_JIMU_SIKAKU__label</vt:lpstr>
      <vt:lpstr>wskakunin_sekkei1_JIMU_TOUROKU_KIKAN__label</vt:lpstr>
      <vt:lpstr>wskakunin_sekkei1_KENTIKUSI_NO</vt:lpstr>
      <vt:lpstr>wskakunin_sekkei1_NAME</vt:lpstr>
      <vt:lpstr>wskakunin_sekkei1_SIKAKU__label</vt:lpstr>
      <vt:lpstr>wskakunin_sekkei1_TEL</vt:lpstr>
      <vt:lpstr>wskakunin_sekkei1_TOUROKU_KIKAN__label</vt:lpstr>
      <vt:lpstr>wskakunin_sekkei1_ZIP</vt:lpstr>
      <vt:lpstr>wskakunin_sekkei10__address</vt:lpstr>
      <vt:lpstr>wskakunin_sekkei10__sikaku</vt:lpstr>
      <vt:lpstr>wskakunin_sekkei10_DOC</vt:lpstr>
      <vt:lpstr>wskakunin_sekkei10_JIMU__sikaku</vt:lpstr>
      <vt:lpstr>wskakunin_sekkei10_JIMU_NAME</vt:lpstr>
      <vt:lpstr>wskakunin_sekkei10_JIMU_NO</vt:lpstr>
      <vt:lpstr>wskakunin_sekkei10_JIMU_SIKAKU__label</vt:lpstr>
      <vt:lpstr>wskakunin_sekkei10_JIMU_TOUROKU_KIKAN__label</vt:lpstr>
      <vt:lpstr>wskakunin_sekkei10_KENTIKUSI_NO</vt:lpstr>
      <vt:lpstr>wskakunin_sekkei10_NAME</vt:lpstr>
      <vt:lpstr>wskakunin_sekkei10_SIKAKU__label</vt:lpstr>
      <vt:lpstr>wskakunin_sekkei10_TEL</vt:lpstr>
      <vt:lpstr>wskakunin_sekkei10_TOUROKU_KIKAN__label</vt:lpstr>
      <vt:lpstr>wskakunin_sekkei10_ZIP</vt:lpstr>
      <vt:lpstr>wskakunin_sekkei11__address</vt:lpstr>
      <vt:lpstr>wskakunin_sekkei11__sikaku</vt:lpstr>
      <vt:lpstr>wskakunin_sekkei11_DOC</vt:lpstr>
      <vt:lpstr>wskakunin_sekkei11_JIMU__sikaku</vt:lpstr>
      <vt:lpstr>wskakunin_sekkei11_JIMU_NAME</vt:lpstr>
      <vt:lpstr>wskakunin_sekkei11_JIMU_NO</vt:lpstr>
      <vt:lpstr>wskakunin_sekkei11_JIMU_SIKAKU__label</vt:lpstr>
      <vt:lpstr>wskakunin_sekkei11_JIMU_TOUROKU_KIKAN__label</vt:lpstr>
      <vt:lpstr>wskakunin_sekkei11_KENTIKUSI_NO</vt:lpstr>
      <vt:lpstr>wskakunin_sekkei11_NAME</vt:lpstr>
      <vt:lpstr>wskakunin_sekkei11_SIKAKU__label</vt:lpstr>
      <vt:lpstr>wskakunin_sekkei11_TEL</vt:lpstr>
      <vt:lpstr>wskakunin_sekkei11_TOUROKU_KIKAN__label</vt:lpstr>
      <vt:lpstr>wskakunin_sekkei11_ZIP</vt:lpstr>
      <vt:lpstr>wskakunin_sekkei12__address</vt:lpstr>
      <vt:lpstr>wskakunin_sekkei12__sikaku</vt:lpstr>
      <vt:lpstr>wskakunin_sekkei12_DOC</vt:lpstr>
      <vt:lpstr>wskakunin_sekkei12_JIMU__sikaku</vt:lpstr>
      <vt:lpstr>wskakunin_sekkei12_JIMU_NAME</vt:lpstr>
      <vt:lpstr>wskakunin_sekkei12_JIMU_NO</vt:lpstr>
      <vt:lpstr>wskakunin_sekkei12_JIMU_SIKAKU__label</vt:lpstr>
      <vt:lpstr>wskakunin_sekkei12_JIMU_TOUROKU_KIKAN__label</vt:lpstr>
      <vt:lpstr>wskakunin_sekkei12_KENTIKUSI_NO</vt:lpstr>
      <vt:lpstr>wskakunin_sekkei12_NAME</vt:lpstr>
      <vt:lpstr>wskakunin_sekkei12_SIKAKU__label</vt:lpstr>
      <vt:lpstr>wskakunin_sekkei12_TEL</vt:lpstr>
      <vt:lpstr>wskakunin_sekkei12_TOUROKU_KIKAN__label</vt:lpstr>
      <vt:lpstr>wskakunin_sekkei12_ZIP</vt:lpstr>
      <vt:lpstr>wskakunin_sekkei2__address</vt:lpstr>
      <vt:lpstr>wskakunin_sekkei2__sikaku</vt:lpstr>
      <vt:lpstr>wskakunin_sekkei2_DOC</vt:lpstr>
      <vt:lpstr>wskakunin_sekkei2_JIMU__sikaku</vt:lpstr>
      <vt:lpstr>wskakunin_sekkei2_JIMU_NAME</vt:lpstr>
      <vt:lpstr>wskakunin_sekkei2_JIMU_NO</vt:lpstr>
      <vt:lpstr>wskakunin_sekkei2_JIMU_SIKAKU__label</vt:lpstr>
      <vt:lpstr>wskakunin_sekkei2_JIMU_TOUROKU_KIKAN__label</vt:lpstr>
      <vt:lpstr>wskakunin_sekkei2_KENTIKUSI_NO</vt:lpstr>
      <vt:lpstr>wskakunin_sekkei2_NAME</vt:lpstr>
      <vt:lpstr>wskakunin_sekkei2_SIKAKU__label</vt:lpstr>
      <vt:lpstr>wskakunin_sekkei2_TEL</vt:lpstr>
      <vt:lpstr>wskakunin_sekkei2_TOUROKU_KIKAN__label</vt:lpstr>
      <vt:lpstr>wskakunin_sekkei2_ZIP</vt:lpstr>
      <vt:lpstr>wskakunin_sekkei3__address</vt:lpstr>
      <vt:lpstr>wskakunin_sekkei3__sikaku</vt:lpstr>
      <vt:lpstr>wskakunin_sekkei3_DOC</vt:lpstr>
      <vt:lpstr>wskakunin_sekkei3_JIMU__sikaku</vt:lpstr>
      <vt:lpstr>wskakunin_sekkei3_JIMU_NAME</vt:lpstr>
      <vt:lpstr>wskakunin_sekkei3_JIMU_NO</vt:lpstr>
      <vt:lpstr>wskakunin_sekkei3_JIMU_SIKAKU__label</vt:lpstr>
      <vt:lpstr>wskakunin_sekkei3_JIMU_TOUROKU_KIKAN__label</vt:lpstr>
      <vt:lpstr>wskakunin_sekkei3_KENTIKUSI_NO</vt:lpstr>
      <vt:lpstr>wskakunin_sekkei3_NAME</vt:lpstr>
      <vt:lpstr>wskakunin_sekkei3_SIKAKU__label</vt:lpstr>
      <vt:lpstr>wskakunin_sekkei3_TEL</vt:lpstr>
      <vt:lpstr>wskakunin_sekkei3_TOUROKU_KIKAN__label</vt:lpstr>
      <vt:lpstr>wskakunin_sekkei3_ZIP</vt:lpstr>
      <vt:lpstr>wskakunin_sekkei4__address</vt:lpstr>
      <vt:lpstr>wskakunin_sekkei4__sikaku</vt:lpstr>
      <vt:lpstr>wskakunin_sekkei4_DOC</vt:lpstr>
      <vt:lpstr>wskakunin_sekkei4_JIMU__sikaku</vt:lpstr>
      <vt:lpstr>wskakunin_sekkei4_JIMU_NAME</vt:lpstr>
      <vt:lpstr>wskakunin_sekkei4_JIMU_NO</vt:lpstr>
      <vt:lpstr>wskakunin_sekkei4_JIMU_SIKAKU__label</vt:lpstr>
      <vt:lpstr>wskakunin_sekkei4_JIMU_TOUROKU_KIKAN__label</vt:lpstr>
      <vt:lpstr>wskakunin_sekkei4_KENTIKUSI_NO</vt:lpstr>
      <vt:lpstr>wskakunin_sekkei4_NAME</vt:lpstr>
      <vt:lpstr>wskakunin_sekkei4_SIKAKU__label</vt:lpstr>
      <vt:lpstr>wskakunin_sekkei4_TEL</vt:lpstr>
      <vt:lpstr>wskakunin_sekkei4_TOUROKU_KIKAN__label</vt:lpstr>
      <vt:lpstr>wskakunin_sekkei4_ZIP</vt:lpstr>
      <vt:lpstr>wskakunin_sekkei5__address</vt:lpstr>
      <vt:lpstr>wskakunin_sekkei5__sikaku</vt:lpstr>
      <vt:lpstr>wskakunin_sekkei5_DOC</vt:lpstr>
      <vt:lpstr>wskakunin_sekkei5_JIMU__sikaku</vt:lpstr>
      <vt:lpstr>wskakunin_sekkei5_JIMU_NAME</vt:lpstr>
      <vt:lpstr>wskakunin_sekkei5_JIMU_NO</vt:lpstr>
      <vt:lpstr>wskakunin_sekkei5_JIMU_SIKAKU__label</vt:lpstr>
      <vt:lpstr>wskakunin_sekkei5_JIMU_TOUROKU_KIKAN__label</vt:lpstr>
      <vt:lpstr>wskakunin_sekkei5_KENTIKUSI_NO</vt:lpstr>
      <vt:lpstr>wskakunin_sekkei5_NAME</vt:lpstr>
      <vt:lpstr>wskakunin_sekkei5_SIKAKU__label</vt:lpstr>
      <vt:lpstr>wskakunin_sekkei5_TEL</vt:lpstr>
      <vt:lpstr>wskakunin_sekkei5_TOUROKU_KIKAN__label</vt:lpstr>
      <vt:lpstr>wskakunin_sekkei5_ZIP</vt:lpstr>
      <vt:lpstr>wskakunin_sekkei6__address</vt:lpstr>
      <vt:lpstr>wskakunin_sekkei6__sikaku</vt:lpstr>
      <vt:lpstr>wskakunin_sekkei6_DOC</vt:lpstr>
      <vt:lpstr>wskakunin_sekkei6_JIMU__sikaku</vt:lpstr>
      <vt:lpstr>wskakunin_sekkei6_JIMU_NAME</vt:lpstr>
      <vt:lpstr>wskakunin_sekkei6_JIMU_NO</vt:lpstr>
      <vt:lpstr>wskakunin_sekkei6_JIMU_SIKAKU__label</vt:lpstr>
      <vt:lpstr>wskakunin_sekkei6_JIMU_TOUROKU_KIKAN__label</vt:lpstr>
      <vt:lpstr>wskakunin_sekkei6_KENTIKUSI_NO</vt:lpstr>
      <vt:lpstr>wskakunin_sekkei6_NAME</vt:lpstr>
      <vt:lpstr>wskakunin_sekkei6_SIKAKU__label</vt:lpstr>
      <vt:lpstr>wskakunin_sekkei6_TEL</vt:lpstr>
      <vt:lpstr>wskakunin_sekkei6_TOUROKU_KIKAN__label</vt:lpstr>
      <vt:lpstr>wskakunin_sekkei6_ZIP</vt:lpstr>
      <vt:lpstr>wskakunin_sekkei7__address</vt:lpstr>
      <vt:lpstr>wskakunin_sekkei7__sikaku</vt:lpstr>
      <vt:lpstr>wskakunin_sekkei7_DOC</vt:lpstr>
      <vt:lpstr>wskakunin_sekkei7_JIMU__sikaku</vt:lpstr>
      <vt:lpstr>wskakunin_sekkei7_JIMU_NAME</vt:lpstr>
      <vt:lpstr>wskakunin_sekkei7_JIMU_NO</vt:lpstr>
      <vt:lpstr>wskakunin_sekkei7_JIMU_SIKAKU__label</vt:lpstr>
      <vt:lpstr>wskakunin_sekkei7_JIMU_TOUROKU_KIKAN__label</vt:lpstr>
      <vt:lpstr>wskakunin_sekkei7_KENTIKUSI_NO</vt:lpstr>
      <vt:lpstr>wskakunin_sekkei7_NAME</vt:lpstr>
      <vt:lpstr>wskakunin_sekkei7_SIKAKU__label</vt:lpstr>
      <vt:lpstr>wskakunin_sekkei7_TEL</vt:lpstr>
      <vt:lpstr>wskakunin_sekkei7_TOUROKU_KIKAN__label</vt:lpstr>
      <vt:lpstr>wskakunin_sekkei7_ZIP</vt:lpstr>
      <vt:lpstr>wskakunin_sekkei8__address</vt:lpstr>
      <vt:lpstr>wskakunin_sekkei8__sikaku</vt:lpstr>
      <vt:lpstr>wskakunin_sekkei8_DOC</vt:lpstr>
      <vt:lpstr>wskakunin_sekkei8_JIMU__sikaku</vt:lpstr>
      <vt:lpstr>wskakunin_sekkei8_JIMU_NAME</vt:lpstr>
      <vt:lpstr>wskakunin_sekkei8_JIMU_NO</vt:lpstr>
      <vt:lpstr>wskakunin_sekkei8_JIMU_SIKAKU__label</vt:lpstr>
      <vt:lpstr>wskakunin_sekkei8_JIMU_TOUROKU_KIKAN__label</vt:lpstr>
      <vt:lpstr>wskakunin_sekkei8_KENTIKUSI_NO</vt:lpstr>
      <vt:lpstr>wskakunin_sekkei8_NAME</vt:lpstr>
      <vt:lpstr>wskakunin_sekkei8_SIKAKU__label</vt:lpstr>
      <vt:lpstr>wskakunin_sekkei8_TEL</vt:lpstr>
      <vt:lpstr>wskakunin_sekkei8_TOUROKU_KIKAN__label</vt:lpstr>
      <vt:lpstr>wskakunin_sekkei8_ZIP</vt:lpstr>
      <vt:lpstr>wskakunin_sekkei9__address</vt:lpstr>
      <vt:lpstr>wskakunin_sekkei9__sikaku</vt:lpstr>
      <vt:lpstr>wskakunin_sekkei9_DOC</vt:lpstr>
      <vt:lpstr>wskakunin_sekkei9_JIMU__sikaku</vt:lpstr>
      <vt:lpstr>wskakunin_sekkei9_JIMU_NAME</vt:lpstr>
      <vt:lpstr>wskakunin_sekkei9_JIMU_NO</vt:lpstr>
      <vt:lpstr>wskakunin_sekkei9_JIMU_SIKAKU__label</vt:lpstr>
      <vt:lpstr>wskakunin_sekkei9_JIMU_TOUROKU_KIKAN__label</vt:lpstr>
      <vt:lpstr>wskakunin_sekkei9_KENTIKUSI_NO</vt:lpstr>
      <vt:lpstr>wskakunin_sekkei9_NAME</vt:lpstr>
      <vt:lpstr>wskakunin_sekkei9_SIKAKU__label</vt:lpstr>
      <vt:lpstr>wskakunin_sekkei9_TEL</vt:lpstr>
      <vt:lpstr>wskakunin_sekkei9_TOUROKU_KIKAN__label</vt:lpstr>
      <vt:lpstr>wskakunin_sekkei9_ZIP</vt:lpstr>
      <vt:lpstr>wskakunin_sekou1__address</vt:lpstr>
      <vt:lpstr>wskakunin_sekou1_JIMU_NAME</vt:lpstr>
      <vt:lpstr>wskakunin_sekou1_NAME</vt:lpstr>
      <vt:lpstr>wskakunin_sekou1_SEKOU__sikaku</vt:lpstr>
      <vt:lpstr>wskakunin_sekou1_SEKOU_NO</vt:lpstr>
      <vt:lpstr>wskakunin_sekou1_SEKOU_SIKAKU__label</vt:lpstr>
      <vt:lpstr>wskakunin_sekou1_TEL</vt:lpstr>
      <vt:lpstr>wskakunin_sekou1_ZIP</vt:lpstr>
      <vt:lpstr>wskakunin_sekou2__address</vt:lpstr>
      <vt:lpstr>wskakunin_sekou2_JIMU_NAME</vt:lpstr>
      <vt:lpstr>wskakunin_sekou2_NAME</vt:lpstr>
      <vt:lpstr>wskakunin_sekou2_SEKOU__sikaku</vt:lpstr>
      <vt:lpstr>wskakunin_sekou2_SEKOU_NO</vt:lpstr>
      <vt:lpstr>wskakunin_sekou2_SEKOU_SIKAKU__label</vt:lpstr>
      <vt:lpstr>wskakunin_sekou2_TEL</vt:lpstr>
      <vt:lpstr>wskakunin_sekou2_ZIP</vt:lpstr>
      <vt:lpstr>wskakunin_sekou3__address</vt:lpstr>
      <vt:lpstr>wskakunin_sekou3_JIMU_NAME</vt:lpstr>
      <vt:lpstr>wskakunin_sekou3_NAME</vt:lpstr>
      <vt:lpstr>wskakunin_sekou3_SEKOU__sikaku</vt:lpstr>
      <vt:lpstr>wskakunin_sekou3_SEKOU_NO</vt:lpstr>
      <vt:lpstr>wskakunin_sekou3_SEKOU_SIKAKU__label</vt:lpstr>
      <vt:lpstr>wskakunin_sekou3_TEL</vt:lpstr>
      <vt:lpstr>wskakunin_sekou3_ZIP</vt:lpstr>
      <vt:lpstr>wskakunin_sekou4__address</vt:lpstr>
      <vt:lpstr>wskakunin_sekou4_JIMU_NAME</vt:lpstr>
      <vt:lpstr>wskakunin_sekou4_NAME</vt:lpstr>
      <vt:lpstr>wskakunin_sekou4_SEKOU__sikaku</vt:lpstr>
      <vt:lpstr>wskakunin_sekou4_SEKOU_NO</vt:lpstr>
      <vt:lpstr>wskakunin_sekou4_SEKOU_SIKAKU__label</vt:lpstr>
      <vt:lpstr>wskakunin_sekou4_TEL</vt:lpstr>
      <vt:lpstr>wskakunin_sekou4_ZIP</vt:lpstr>
      <vt:lpstr>wskakunin_sekou5__address</vt:lpstr>
      <vt:lpstr>wskakunin_sekou5_JIMU_NAME</vt:lpstr>
      <vt:lpstr>wskakunin_sekou5_NAME</vt:lpstr>
      <vt:lpstr>wskakunin_sekou5_SEKOU__sikaku</vt:lpstr>
      <vt:lpstr>wskakunin_sekou5_SEKOU_NO</vt:lpstr>
      <vt:lpstr>wskakunin_sekou5_SEKOU_SIKAKU__label</vt:lpstr>
      <vt:lpstr>wskakunin_sekou5_TEL</vt:lpstr>
      <vt:lpstr>wskakunin_sekou5_ZIP</vt:lpstr>
      <vt:lpstr>wskakunin_sekou6__address</vt:lpstr>
      <vt:lpstr>wskakunin_sekou6_JIMU_NAME</vt:lpstr>
      <vt:lpstr>wskakunin_sekou6_NAME</vt:lpstr>
      <vt:lpstr>wskakunin_sekou6_SEKOU__sikaku</vt:lpstr>
      <vt:lpstr>wskakunin_sekou6_SEKOU_NO</vt:lpstr>
      <vt:lpstr>wskakunin_sekou6_SEKOU_SIKAKU__label</vt:lpstr>
      <vt:lpstr>wskakunin_sekou6_TEL</vt:lpstr>
      <vt:lpstr>wskakunin_sekou6_ZIP</vt:lpstr>
      <vt:lpstr>wskakunin_SHIKITI_MENSEKI_1_TOTAL</vt:lpstr>
      <vt:lpstr>wskakunin_SHIKITI_MENSEKI_1A</vt:lpstr>
      <vt:lpstr>wskakunin_SHIKITI_MENSEKI_1B</vt:lpstr>
      <vt:lpstr>wskakunin_SHIKITI_MENSEKI_1C</vt:lpstr>
      <vt:lpstr>wskakunin_SHIKITI_MENSEKI_1D</vt:lpstr>
      <vt:lpstr>wskakunin_SHIKITI_MENSEKI_2_TOTAL</vt:lpstr>
      <vt:lpstr>wskakunin_SHIKITI_MENSEKI_2A</vt:lpstr>
      <vt:lpstr>wskakunin_SHIKITI_MENSEKI_2B</vt:lpstr>
      <vt:lpstr>wskakunin_SHIKITI_MENSEKI_2C</vt:lpstr>
      <vt:lpstr>wskakunin_SHIKITI_MENSEKI_2D</vt:lpstr>
      <vt:lpstr>wskakunin_SHIKITI_MENSEKI_BIKOU</vt:lpstr>
      <vt:lpstr>wskakunin_SHINSEI_DATE</vt:lpstr>
      <vt:lpstr>wskakunin_SONOTA_KUIKI</vt:lpstr>
      <vt:lpstr>wskakunin_TAKASA_MAX_SHINSEI</vt:lpstr>
      <vt:lpstr>wskakunin_TAKASA_MAX_SONOTA</vt:lpstr>
      <vt:lpstr>wskakunin_tekihan01_TEKIHAN_KIKAN_ADDRESS</vt:lpstr>
      <vt:lpstr>wskakunin_tekihan01_TEKIHAN_KIKAN_KEN__ken</vt:lpstr>
      <vt:lpstr>wskakunin_tekihan01_TEKIHAN_KIKAN_NAME</vt:lpstr>
      <vt:lpstr>wskakunin_tekihan01_TEKIHAN_STATE</vt:lpstr>
      <vt:lpstr>wskakunin_tekihan02_TEKIHAN_KIKAN_ADDRESS</vt:lpstr>
      <vt:lpstr>wskakunin_tekihan02_TEKIHAN_KIKAN_KEN__ken</vt:lpstr>
      <vt:lpstr>wskakunin_tekihan02_TEKIHAN_KIKAN_NAME</vt:lpstr>
      <vt:lpstr>wskakunin_TOKUREI_1</vt:lpstr>
      <vt:lpstr>wskakunin_TOKUREI_2</vt:lpstr>
      <vt:lpstr>wskakunin_TOKUREI_3</vt:lpstr>
      <vt:lpstr>wskakunin_TOKUREI_4</vt:lpstr>
      <vt:lpstr>wskakunin_TOKUREI_TAKASA</vt:lpstr>
      <vt:lpstr>wskakunin_TOKUREI_TAKASA_DOURO</vt:lpstr>
      <vt:lpstr>wskakunin_TOKUREI_TAKASA_KITA</vt:lpstr>
      <vt:lpstr>wskakunin_TOKUREI_TAKASA_RINTI</vt:lpstr>
      <vt:lpstr>wskakunin_TOKUTEI_KOUJI_KANRYOU_DATE</vt:lpstr>
      <vt:lpstr>wskakunin_TOKUTEI_KOUTEI</vt:lpstr>
      <vt:lpstr>wskakunin_YOUSEKI_RITU</vt:lpstr>
      <vt:lpstr>wskakunin_YOUSEKI_RITU_A</vt:lpstr>
      <vt:lpstr>wskakunin_YOUSEKI_RITU_B</vt:lpstr>
      <vt:lpstr>wskakunin_YOUSEKI_RITU_C</vt:lpstr>
      <vt:lpstr>wskakunin_YOUSEKI_RITU_D</vt:lpstr>
      <vt:lpstr>wskakunin_YOUTO</vt:lpstr>
      <vt:lpstr>wskakunin_YOUTO_CODE</vt:lpstr>
      <vt:lpstr>wskakunin_YOUTO_TIIKI_A</vt:lpstr>
      <vt:lpstr>wskakunin_YOUTO_TIIKI_B</vt:lpstr>
      <vt:lpstr>wskakunin_YOUTO_TIIKI_C</vt:lpstr>
      <vt:lpstr>wskakunin_YOUTO_TIIKI_D</vt:lpstr>
      <vt:lpstr>wskakuninKOUJI_SETUBI</vt:lpstr>
      <vt:lpstr>DATA!Z_D83ABAE7_1F4C_4C77_8E04_C5172671ED17_.wvu.Rows</vt:lpstr>
      <vt:lpstr>しろくろ</vt:lpstr>
      <vt:lpstr>チェック</vt:lpstr>
      <vt:lpstr>はんとく</vt:lpstr>
      <vt:lpstr>一級</vt:lpstr>
      <vt:lpstr>外壁後退</vt:lpstr>
      <vt:lpstr>確変</vt:lpstr>
      <vt:lpstr>居住専用番号</vt:lpstr>
      <vt:lpstr>許可</vt:lpstr>
      <vt:lpstr>許可区分</vt:lpstr>
      <vt:lpstr>近隣商業地域</vt:lpstr>
      <vt:lpstr>近隣商業地域建ぺい率</vt:lpstr>
      <vt:lpstr>月</vt:lpstr>
      <vt:lpstr>建ぺい率</vt:lpstr>
      <vt:lpstr>建昇工</vt:lpstr>
      <vt:lpstr>建築士</vt:lpstr>
      <vt:lpstr>県知事</vt:lpstr>
      <vt:lpstr>工業専用地域</vt:lpstr>
      <vt:lpstr>工業専用地域建ぺい率</vt:lpstr>
      <vt:lpstr>工業地域</vt:lpstr>
      <vt:lpstr>工業地域建ぺい率</vt:lpstr>
      <vt:lpstr>工事届用構造コード_2410</vt:lpstr>
      <vt:lpstr>工事届用構造区分_2410</vt:lpstr>
      <vt:lpstr>工事届用主要用途</vt:lpstr>
      <vt:lpstr>工事届用主要用途_2410</vt:lpstr>
      <vt:lpstr>工事届用主要用途2</vt:lpstr>
      <vt:lpstr>工事届用主要用途区分</vt:lpstr>
      <vt:lpstr>工事届用主要用途区分_2410</vt:lpstr>
      <vt:lpstr>工事届用用途コード_2410</vt:lpstr>
      <vt:lpstr>工事届用用途区分_2410</vt:lpstr>
      <vt:lpstr>構造</vt:lpstr>
      <vt:lpstr>号</vt:lpstr>
      <vt:lpstr>産業番号</vt:lpstr>
      <vt:lpstr>指定なし</vt:lpstr>
      <vt:lpstr>指定なし建ぺい率</vt:lpstr>
      <vt:lpstr>施工者</vt:lpstr>
      <vt:lpstr>資格</vt:lpstr>
      <vt:lpstr>準工業地域</vt:lpstr>
      <vt:lpstr>準工業地域建ぺい率</vt:lpstr>
      <vt:lpstr>準住居地域</vt:lpstr>
      <vt:lpstr>準住居地域建ぺい率</vt:lpstr>
      <vt:lpstr>商業地域</vt:lpstr>
      <vt:lpstr>商業地域建ぺい率</vt:lpstr>
      <vt:lpstr>図書</vt:lpstr>
      <vt:lpstr>数字</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都道府県</vt:lpstr>
      <vt:lpstr>特定工程</vt:lpstr>
      <vt:lpstr>二級</vt:lpstr>
      <vt:lpstr>年度</vt:lpstr>
      <vt:lpstr>便所</vt:lpstr>
      <vt:lpstr>面積</vt:lpstr>
      <vt:lpstr>木造</vt:lpstr>
      <vt:lpstr>容積率</vt:lpstr>
      <vt:lpstr>用途区分</vt:lpstr>
      <vt:lpstr>用途地域</vt:lpstr>
      <vt:lpstr>和暦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nishitani</dc:creator>
  <cp:keywords/>
  <dc:description/>
  <cp:lastModifiedBy>石川　光</cp:lastModifiedBy>
  <cp:revision/>
  <cp:lastPrinted>2024-12-10T04:50:54Z</cp:lastPrinted>
  <dcterms:created xsi:type="dcterms:W3CDTF">2016-04-05T10:41:15Z</dcterms:created>
  <dcterms:modified xsi:type="dcterms:W3CDTF">2024-12-10T04:51:44Z</dcterms:modified>
  <cp:category/>
  <cp:contentStatus/>
</cp:coreProperties>
</file>